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C:\Users\WCPGE\Documents\Intercomputer 2018F12\Health - Nutrition - Physical Fitness\Nutrition Management\"/>
    </mc:Choice>
  </mc:AlternateContent>
  <xr:revisionPtr revIDLastSave="0" documentId="13_ncr:1_{AE72BF6F-5B34-4E72-9936-08DB201597B2}" xr6:coauthVersionLast="34" xr6:coauthVersionMax="34" xr10:uidLastSave="{00000000-0000-0000-0000-000000000000}"/>
  <bookViews>
    <workbookView xWindow="0" yWindow="0" windowWidth="17970" windowHeight="6120" xr2:uid="{00000000-000D-0000-FFFF-FFFF00000000}"/>
  </bookViews>
  <sheets>
    <sheet name="Sheet1"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1" i="1" l="1"/>
  <c r="V40" i="1"/>
  <c r="W48" i="1"/>
  <c r="W41" i="1" s="1"/>
  <c r="V48" i="1"/>
  <c r="V47" i="1"/>
  <c r="W47" i="1"/>
  <c r="V39" i="1"/>
  <c r="L30" i="1" l="1"/>
  <c r="J15" i="1"/>
  <c r="J14" i="1"/>
  <c r="E39" i="1"/>
  <c r="D39" i="1"/>
  <c r="E38" i="1"/>
  <c r="D38" i="1"/>
  <c r="E36" i="1"/>
  <c r="D36" i="1"/>
  <c r="E43" i="1"/>
  <c r="D44" i="1"/>
  <c r="V42" i="1"/>
  <c r="V43" i="1" s="1"/>
  <c r="V36" i="1"/>
  <c r="E30" i="1"/>
  <c r="F36" i="1" s="1"/>
  <c r="G36" i="1" s="1"/>
  <c r="D30" i="1"/>
  <c r="I16" i="1"/>
  <c r="J16" i="1" s="1"/>
  <c r="M16" i="1"/>
  <c r="I17" i="1"/>
  <c r="J17" i="1" s="1"/>
  <c r="M17" i="1"/>
  <c r="I18" i="1"/>
  <c r="J18" i="1" s="1"/>
  <c r="M18" i="1"/>
  <c r="I19" i="1"/>
  <c r="J19" i="1" s="1"/>
  <c r="K19" i="1"/>
  <c r="M19" i="1" s="1"/>
  <c r="I20" i="1"/>
  <c r="J20" i="1" s="1"/>
  <c r="M20" i="1"/>
  <c r="I21" i="1"/>
  <c r="J21" i="1" s="1"/>
  <c r="M21" i="1"/>
  <c r="I22" i="1"/>
  <c r="J22" i="1" s="1"/>
  <c r="M22" i="1"/>
  <c r="I23" i="1"/>
  <c r="J23" i="1" s="1"/>
  <c r="M23" i="1"/>
  <c r="I24" i="1"/>
  <c r="J24" i="1" s="1"/>
  <c r="M24" i="1"/>
  <c r="I25" i="1"/>
  <c r="J25" i="1" s="1"/>
  <c r="M25" i="1"/>
  <c r="I26" i="1"/>
  <c r="J26" i="1" s="1"/>
  <c r="M26" i="1"/>
  <c r="I27" i="1"/>
  <c r="J27" i="1" s="1"/>
  <c r="M27" i="1"/>
  <c r="I28" i="1"/>
  <c r="J28" i="1" s="1"/>
  <c r="M28" i="1"/>
  <c r="I29" i="1"/>
  <c r="J29" i="1" s="1"/>
  <c r="M29" i="1"/>
  <c r="B12" i="1"/>
  <c r="C10" i="1"/>
  <c r="F10" i="1"/>
  <c r="B11" i="1"/>
  <c r="C11" i="1" s="1"/>
  <c r="F11" i="1"/>
  <c r="B13" i="1"/>
  <c r="C13" i="1" s="1"/>
  <c r="F13" i="1"/>
  <c r="B14" i="1"/>
  <c r="C14" i="1"/>
  <c r="F14" i="1"/>
  <c r="B15" i="1"/>
  <c r="C15" i="1"/>
  <c r="F15" i="1"/>
  <c r="B16" i="1"/>
  <c r="C16" i="1" s="1"/>
  <c r="F16" i="1"/>
  <c r="B17" i="1"/>
  <c r="C17" i="1" s="1"/>
  <c r="F17" i="1"/>
  <c r="B18" i="1"/>
  <c r="C18" i="1"/>
  <c r="F18" i="1"/>
  <c r="B19" i="1"/>
  <c r="C19" i="1" s="1"/>
  <c r="F19" i="1"/>
  <c r="B20" i="1"/>
  <c r="C20" i="1" s="1"/>
  <c r="F20" i="1"/>
  <c r="B21" i="1"/>
  <c r="C21" i="1" s="1"/>
  <c r="F21" i="1"/>
  <c r="B22" i="1"/>
  <c r="C22" i="1"/>
  <c r="F22" i="1"/>
  <c r="B23" i="1"/>
  <c r="C23" i="1"/>
  <c r="F23" i="1"/>
  <c r="B24" i="1"/>
  <c r="C24" i="1"/>
  <c r="F24" i="1"/>
  <c r="B25" i="1"/>
  <c r="C25" i="1" s="1"/>
  <c r="D25" i="1"/>
  <c r="F25" i="1"/>
  <c r="B26" i="1"/>
  <c r="C26" i="1" s="1"/>
  <c r="F26" i="1"/>
  <c r="B27" i="1"/>
  <c r="C27" i="1"/>
  <c r="F27" i="1"/>
  <c r="B28" i="1"/>
  <c r="C28" i="1" s="1"/>
  <c r="F28" i="1"/>
  <c r="B29" i="1"/>
  <c r="C29" i="1"/>
  <c r="F29" i="1"/>
  <c r="C37" i="1"/>
  <c r="W42" i="1" s="1"/>
  <c r="W46" i="1" s="1"/>
  <c r="V44" i="1" l="1"/>
  <c r="D37" i="1"/>
  <c r="E37" i="1"/>
  <c r="K30" i="1"/>
  <c r="V46" i="1"/>
  <c r="W43" i="1"/>
  <c r="W44" i="1" s="1"/>
  <c r="V37" i="1"/>
  <c r="F37" i="1"/>
  <c r="G37" i="1" s="1"/>
  <c r="C12" i="1"/>
  <c r="C7" i="1"/>
  <c r="C6" i="1"/>
  <c r="C4" i="1"/>
  <c r="F4" i="1"/>
  <c r="V32" i="1"/>
  <c r="M4" i="1"/>
  <c r="M7" i="1"/>
  <c r="I7" i="1"/>
  <c r="J7" i="1" s="1"/>
  <c r="M5" i="1"/>
  <c r="I5" i="1"/>
  <c r="J5" i="1" s="1"/>
  <c r="M12" i="1"/>
  <c r="I12" i="1"/>
  <c r="J12" i="1" s="1"/>
  <c r="M10" i="1"/>
  <c r="I10" i="1"/>
  <c r="J10" i="1" s="1"/>
  <c r="M9" i="1"/>
  <c r="I9" i="1"/>
  <c r="J9" i="1" s="1"/>
  <c r="M13" i="1"/>
  <c r="I13" i="1"/>
  <c r="J13" i="1" s="1"/>
  <c r="M11" i="1"/>
  <c r="I11" i="1"/>
  <c r="J11" i="1" s="1"/>
  <c r="M6" i="1"/>
  <c r="I6" i="1"/>
  <c r="J6" i="1" s="1"/>
  <c r="M8" i="1"/>
  <c r="I8" i="1"/>
  <c r="J8" i="1" s="1"/>
  <c r="M14" i="1"/>
  <c r="M15" i="1"/>
  <c r="I4" i="1"/>
  <c r="B9" i="1"/>
  <c r="C9" i="1" s="1"/>
  <c r="B4" i="1"/>
  <c r="B6" i="1"/>
  <c r="F12" i="1"/>
  <c r="F9" i="1"/>
  <c r="B8" i="1"/>
  <c r="C8" i="1" s="1"/>
  <c r="B7" i="1"/>
  <c r="F6" i="1"/>
  <c r="B5" i="1"/>
  <c r="C5" i="1" s="1"/>
  <c r="V31" i="1"/>
  <c r="V30" i="1"/>
  <c r="M30" i="1" l="1"/>
  <c r="B30" i="1"/>
  <c r="V45" i="1" s="1"/>
  <c r="J4" i="1"/>
  <c r="J30" i="1" s="1"/>
  <c r="I30" i="1"/>
  <c r="C30" i="1"/>
  <c r="C31" i="1" s="1"/>
  <c r="Q7" i="1"/>
  <c r="Q9" i="1" s="1"/>
  <c r="Q10" i="1" s="1"/>
  <c r="Q6" i="1"/>
  <c r="C32" i="1" l="1"/>
  <c r="W45" i="1"/>
  <c r="F8" i="1"/>
  <c r="F7" i="1"/>
  <c r="F5" i="1"/>
  <c r="F30" i="1" s="1"/>
  <c r="U10" i="1" l="1"/>
  <c r="V10" i="1" s="1"/>
  <c r="U9" i="1"/>
  <c r="V9" i="1" s="1"/>
  <c r="U8" i="1"/>
  <c r="V8" i="1" s="1"/>
  <c r="U7" i="1"/>
  <c r="V7" i="1" s="1"/>
  <c r="U6" i="1"/>
  <c r="V6" i="1" s="1"/>
  <c r="U5" i="1"/>
  <c r="V5" i="1" s="1"/>
  <c r="F38" i="1"/>
  <c r="G38" i="1" s="1"/>
  <c r="F39" i="1"/>
  <c r="G39" i="1" s="1"/>
  <c r="F31" i="1"/>
  <c r="F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Patterson</author>
  </authors>
  <commentList>
    <comment ref="F3" authorId="0" shapeId="0" xr:uid="{9FC51D33-1C68-444F-B7E8-BC9A9A671007}">
      <text>
        <r>
          <rPr>
            <sz val="9"/>
            <color indexed="81"/>
            <rFont val="Tahoma"/>
            <family val="2"/>
          </rPr>
          <t>1 teaspoon of sugar weighs 4 grams</t>
        </r>
      </text>
    </comment>
    <comment ref="M3" authorId="0" shapeId="0" xr:uid="{0C57FA24-8794-4D74-A670-ADBADD4CBAAC}">
      <text>
        <r>
          <rPr>
            <sz val="9"/>
            <color indexed="81"/>
            <rFont val="Tahoma"/>
            <family val="2"/>
          </rPr>
          <t>1 teaspoon of sugar weighs 4 grams</t>
        </r>
      </text>
    </comment>
    <comment ref="P6" authorId="0" shapeId="0" xr:uid="{07AB972C-FE9F-4FDF-BD95-C3F66EE725D2}">
      <text>
        <r>
          <rPr>
            <b/>
            <sz val="9"/>
            <color indexed="81"/>
            <rFont val="Tahoma"/>
            <family val="2"/>
          </rPr>
          <t>There are 4 calories per gram of sugar.</t>
        </r>
      </text>
    </comment>
    <comment ref="P7" authorId="0" shapeId="0" xr:uid="{879C41E6-7504-4510-B260-537EC13D55A3}">
      <text>
        <r>
          <rPr>
            <b/>
            <sz val="9"/>
            <color indexed="81"/>
            <rFont val="Tahoma"/>
            <family val="2"/>
          </rPr>
          <t>There are 9 calories per gram of fat</t>
        </r>
      </text>
    </comment>
  </commentList>
</comments>
</file>

<file path=xl/sharedStrings.xml><?xml version="1.0" encoding="utf-8"?>
<sst xmlns="http://schemas.openxmlformats.org/spreadsheetml/2006/main" count="158" uniqueCount="119">
  <si>
    <t>Beverage</t>
  </si>
  <si>
    <t>Sugar g/8 Oz</t>
  </si>
  <si>
    <t>2% Milk</t>
  </si>
  <si>
    <t>Diet Ginger Ale</t>
  </si>
  <si>
    <t>Orange Juice</t>
  </si>
  <si>
    <t>Grapefruit Juice</t>
  </si>
  <si>
    <t>Lite Beer</t>
  </si>
  <si>
    <t>Coke</t>
  </si>
  <si>
    <t>Pepsi</t>
  </si>
  <si>
    <t>Lemonade</t>
  </si>
  <si>
    <t>William C. Patterson, Ph.D.</t>
  </si>
  <si>
    <t>Daily Oz</t>
  </si>
  <si>
    <t>Water</t>
  </si>
  <si>
    <t>My Sugar g</t>
  </si>
  <si>
    <t>Tomato Juice</t>
  </si>
  <si>
    <t>Ginger Ale</t>
  </si>
  <si>
    <t>Energy Drink</t>
  </si>
  <si>
    <t>Wine</t>
  </si>
  <si>
    <t>Apple Cider</t>
  </si>
  <si>
    <t>Butter Milk</t>
  </si>
  <si>
    <t>American Male  Liquid Intake Oz/Da</t>
  </si>
  <si>
    <t>American Female Liquid Intake Oz/Da</t>
  </si>
  <si>
    <t>Sugar g/da in 2000 Cal FDA Diet</t>
  </si>
  <si>
    <t>Avg American Sugar Intake  g/da</t>
  </si>
  <si>
    <t>Energy Output</t>
  </si>
  <si>
    <t>Exercise</t>
  </si>
  <si>
    <t>Exercise Burn Cal/Min</t>
  </si>
  <si>
    <t>Running</t>
  </si>
  <si>
    <t>Cal/Min</t>
  </si>
  <si>
    <t>Walking</t>
  </si>
  <si>
    <t xml:space="preserve">Sitting </t>
  </si>
  <si>
    <t>Sleeping</t>
  </si>
  <si>
    <t>Bicycle</t>
  </si>
  <si>
    <t>Standing</t>
  </si>
  <si>
    <t>Fat Burn g/min</t>
  </si>
  <si>
    <t>Sugar burn g/min</t>
  </si>
  <si>
    <t>Burn Rate</t>
  </si>
  <si>
    <t>Beverage Enabled</t>
  </si>
  <si>
    <t>Minutes</t>
  </si>
  <si>
    <t>Hours</t>
  </si>
  <si>
    <t>Exercise Time Hrs/Da</t>
  </si>
  <si>
    <t>Fat Lb/Da Losable</t>
  </si>
  <si>
    <t>Fat Lb/Mo Losable</t>
  </si>
  <si>
    <t>Lifestyle</t>
  </si>
  <si>
    <t>Active</t>
  </si>
  <si>
    <t>Sedentary</t>
  </si>
  <si>
    <t>Food Energy Content</t>
  </si>
  <si>
    <t>Protein</t>
  </si>
  <si>
    <t>Carbohydrates</t>
  </si>
  <si>
    <t>Fat</t>
  </si>
  <si>
    <t>Fiber</t>
  </si>
  <si>
    <t>Sugar</t>
  </si>
  <si>
    <t>Alcohol</t>
  </si>
  <si>
    <t>Guarana</t>
  </si>
  <si>
    <t>Daily Dietary Supplements</t>
  </si>
  <si>
    <t>$/8 Oz</t>
  </si>
  <si>
    <t>Calories Per Gram</t>
  </si>
  <si>
    <t>$/Capsule</t>
  </si>
  <si>
    <t>Diet Coke</t>
  </si>
  <si>
    <t>Diet Pepsi</t>
  </si>
  <si>
    <t>Diet Orange Soda</t>
  </si>
  <si>
    <t>Orange Soda</t>
  </si>
  <si>
    <t>Iced Tea</t>
  </si>
  <si>
    <t>Fruit Drink</t>
  </si>
  <si>
    <t>Diet Fruit Drink</t>
  </si>
  <si>
    <t>Iced Tea Mix</t>
  </si>
  <si>
    <t>Home Brewed Coffee</t>
  </si>
  <si>
    <t>Multi-Vitamin &amp; Mineral</t>
  </si>
  <si>
    <t>Energy Input (Sugar Content Order)</t>
  </si>
  <si>
    <t>Energy Input (Beverage Cost Order)</t>
  </si>
  <si>
    <t>Energy Data References</t>
  </si>
  <si>
    <t>Chromium Picolinate</t>
  </si>
  <si>
    <t>general health promotion</t>
  </si>
  <si>
    <t>sugarless energy promotion @ 500 mcg potency</t>
  </si>
  <si>
    <t>non-exercise weight loss @ 200 mcg potency</t>
  </si>
  <si>
    <t>Daily Cost</t>
  </si>
  <si>
    <t>Summary Line</t>
  </si>
  <si>
    <t>Avg $/Cup =</t>
  </si>
  <si>
    <t>Avg Sugar g/Cup =</t>
  </si>
  <si>
    <t>Meal Protein Drink</t>
  </si>
  <si>
    <t>% Avg Energy Cup =</t>
  </si>
  <si>
    <t>Beverage Menu Savings wrt Avg Beverage Cost =</t>
  </si>
  <si>
    <t>Diet Lemonade</t>
  </si>
  <si>
    <t>Human Physiology</t>
  </si>
  <si>
    <t>Body Weight Lb</t>
  </si>
  <si>
    <t>Water Weight Lb</t>
  </si>
  <si>
    <t>Daily Male Liquid Intake Lb</t>
  </si>
  <si>
    <t>Daily Female Liquid Intake Lb</t>
  </si>
  <si>
    <t>Weight Lb</t>
  </si>
  <si>
    <t>Activity</t>
  </si>
  <si>
    <t>Calories/Day</t>
  </si>
  <si>
    <t>Oz/Da</t>
  </si>
  <si>
    <t>Cups/Da</t>
  </si>
  <si>
    <t>Qts/Da</t>
  </si>
  <si>
    <t>Liquid Menu Performance</t>
  </si>
  <si>
    <t>Indication</t>
  </si>
  <si>
    <t>% of Std</t>
  </si>
  <si>
    <t>Water Gal</t>
  </si>
  <si>
    <t>Daily Male Liquid Intake Gal</t>
  </si>
  <si>
    <t>Daily Female Liquid Intake Gal</t>
  </si>
  <si>
    <t>Sugar g If Replenished By Avg Beverage</t>
  </si>
  <si>
    <t>Cost If Replenished By Avg Beverage</t>
  </si>
  <si>
    <t>Approximate Diet Caloric Minimums</t>
  </si>
  <si>
    <t>Beverage Manager</t>
  </si>
  <si>
    <t>Drink In The Sweet Life Abundantly, Safely Blended With Stirring Delights.</t>
  </si>
  <si>
    <t>Live Every Day With Thankfulness To God For The Multitude of Meaningful Experiences Freely Chosen.</t>
  </si>
  <si>
    <t>Female Muscle Mass Lb @ 30%</t>
  </si>
  <si>
    <t>% Body Water In  Male Muscle</t>
  </si>
  <si>
    <t>% Body Water In Female Muscle</t>
  </si>
  <si>
    <t>Beverage % Total Male Body Water</t>
  </si>
  <si>
    <t>Beverage % Total Female Body Water</t>
  </si>
  <si>
    <t>Male Muscle Mass Lb @ 40%</t>
  </si>
  <si>
    <t>Male Water Content Lb in Muscle Mass @ 72%</t>
  </si>
  <si>
    <t>Female Water Content Lb in Muscle Mass @ 72%</t>
  </si>
  <si>
    <t>Water Wt % of Body</t>
  </si>
  <si>
    <t>Blood Portion of Body Water Gal</t>
  </si>
  <si>
    <t>Blood Portion of Body Water %</t>
  </si>
  <si>
    <t>Values above vary quite a bit. Summations are imprecise. Inferences regarding relative influence are safer.</t>
  </si>
  <si>
    <t>Activity Array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</si>
</sst>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21" x14ac:knownFonts="1">
    <font>
      <sz val="11"/>
      <color theme="1"/>
      <name val="Calibri"/>
      <family val="2"/>
      <scheme val="minor"/>
    </font>
    <font>
      <sz val="11"/>
      <color rgb="FF9C0006"/>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1"/>
      <color rgb="FF006100"/>
      <name val="Calibri"/>
      <family val="2"/>
      <scheme val="minor"/>
    </font>
    <font>
      <b/>
      <sz val="11"/>
      <color theme="0"/>
      <name val="Calibri"/>
      <family val="2"/>
      <scheme val="minor"/>
    </font>
    <font>
      <sz val="9"/>
      <color indexed="81"/>
      <name val="Tahoma"/>
      <family val="2"/>
    </font>
    <font>
      <b/>
      <sz val="9"/>
      <color indexed="81"/>
      <name val="Tahoma"/>
      <family val="2"/>
    </font>
    <font>
      <sz val="11"/>
      <color theme="0"/>
      <name val="Calibri"/>
      <family val="2"/>
      <scheme val="minor"/>
    </font>
    <font>
      <b/>
      <i/>
      <sz val="11"/>
      <color theme="1"/>
      <name val="Calibri"/>
      <family val="2"/>
      <scheme val="minor"/>
    </font>
    <font>
      <sz val="11"/>
      <name val="Calibri"/>
      <family val="2"/>
      <scheme val="minor"/>
    </font>
    <font>
      <b/>
      <i/>
      <sz val="11"/>
      <color theme="0"/>
      <name val="Calibri"/>
      <family val="2"/>
      <scheme val="minor"/>
    </font>
    <font>
      <b/>
      <sz val="16"/>
      <color theme="0"/>
      <name val="Calibri"/>
      <family val="2"/>
      <scheme val="minor"/>
    </font>
    <font>
      <b/>
      <sz val="11"/>
      <color rgb="FF9C0006"/>
      <name val="Calibri"/>
      <family val="2"/>
      <scheme val="minor"/>
    </font>
    <font>
      <sz val="11"/>
      <color rgb="FF0070C0"/>
      <name val="Calibri"/>
      <family val="2"/>
      <scheme val="minor"/>
    </font>
    <font>
      <sz val="11"/>
      <color rgb="FFFF00FF"/>
      <name val="Calibri"/>
      <family val="2"/>
      <scheme val="minor"/>
    </font>
    <font>
      <b/>
      <i/>
      <sz val="11"/>
      <color rgb="FF0070C0"/>
      <name val="Calibri"/>
      <family val="2"/>
      <scheme val="minor"/>
    </font>
    <font>
      <b/>
      <sz val="11"/>
      <color rgb="FF0070C0"/>
      <name val="Calibri"/>
      <family val="2"/>
      <scheme val="minor"/>
    </font>
    <font>
      <i/>
      <sz val="11"/>
      <color rgb="FFFF0000"/>
      <name val="Calibri"/>
      <family val="2"/>
      <scheme val="minor"/>
    </font>
    <font>
      <b/>
      <sz val="12"/>
      <color theme="1"/>
      <name val="Calibri"/>
      <family val="2"/>
      <scheme val="minor"/>
    </font>
  </fonts>
  <fills count="8">
    <fill>
      <patternFill patternType="none"/>
    </fill>
    <fill>
      <patternFill patternType="gray125"/>
    </fill>
    <fill>
      <patternFill patternType="solid">
        <fgColor rgb="FFFFC7CE"/>
      </patternFill>
    </fill>
    <fill>
      <patternFill patternType="solid">
        <fgColor theme="0" tint="-0.249977111117893"/>
        <bgColor indexed="64"/>
      </patternFill>
    </fill>
    <fill>
      <patternFill patternType="solid">
        <fgColor theme="0" tint="-0.34998626667073579"/>
        <bgColor indexed="64"/>
      </patternFill>
    </fill>
    <fill>
      <patternFill patternType="solid">
        <fgColor rgb="FFC6EFCE"/>
      </patternFill>
    </fill>
    <fill>
      <patternFill patternType="solid">
        <fgColor rgb="FF92D050"/>
        <bgColor indexed="64"/>
      </patternFill>
    </fill>
    <fill>
      <patternFill patternType="solid">
        <fgColor theme="9" tint="0.79998168889431442"/>
        <bgColor indexed="64"/>
      </patternFill>
    </fill>
  </fills>
  <borders count="1">
    <border>
      <left/>
      <right/>
      <top/>
      <bottom/>
      <diagonal/>
    </border>
  </borders>
  <cellStyleXfs count="4">
    <xf numFmtId="0" fontId="0" fillId="0" borderId="0"/>
    <xf numFmtId="0" fontId="1" fillId="2" borderId="0" applyNumberFormat="0" applyBorder="0" applyAlignment="0" applyProtection="0"/>
    <xf numFmtId="9" fontId="4" fillId="0" borderId="0" applyFont="0" applyFill="0" applyBorder="0" applyAlignment="0" applyProtection="0"/>
    <xf numFmtId="0" fontId="5" fillId="5" borderId="0" applyNumberFormat="0" applyBorder="0" applyAlignment="0" applyProtection="0"/>
  </cellStyleXfs>
  <cellXfs count="55">
    <xf numFmtId="0" fontId="0" fillId="0" borderId="0" xfId="0"/>
    <xf numFmtId="0" fontId="0" fillId="0" borderId="0" xfId="0" applyAlignment="1">
      <alignment horizontal="center"/>
    </xf>
    <xf numFmtId="0" fontId="2" fillId="0" borderId="0" xfId="0" applyFont="1"/>
    <xf numFmtId="0" fontId="3" fillId="3" borderId="0" xfId="0" applyFont="1" applyFill="1"/>
    <xf numFmtId="0" fontId="2" fillId="3" borderId="0" xfId="0" applyFont="1" applyFill="1"/>
    <xf numFmtId="0" fontId="0" fillId="4" borderId="0" xfId="0" applyFill="1"/>
    <xf numFmtId="0" fontId="2" fillId="0" borderId="0" xfId="0" applyFont="1" applyAlignment="1">
      <alignment horizontal="center"/>
    </xf>
    <xf numFmtId="0" fontId="1" fillId="2" borderId="0" xfId="1" applyAlignment="1">
      <alignment horizontal="center"/>
    </xf>
    <xf numFmtId="0" fontId="0" fillId="0" borderId="0" xfId="0" applyFont="1" applyAlignment="1">
      <alignment horizontal="left"/>
    </xf>
    <xf numFmtId="9" fontId="1" fillId="2" borderId="0" xfId="1" applyNumberFormat="1" applyAlignment="1">
      <alignment horizontal="center"/>
    </xf>
    <xf numFmtId="9" fontId="1" fillId="2" borderId="0" xfId="2" applyFont="1" applyFill="1" applyAlignment="1">
      <alignment horizontal="center"/>
    </xf>
    <xf numFmtId="0" fontId="5" fillId="5" borderId="0" xfId="3" applyAlignment="1">
      <alignment horizontal="center"/>
    </xf>
    <xf numFmtId="0" fontId="5" fillId="6" borderId="0" xfId="3" applyFill="1" applyAlignment="1">
      <alignment horizontal="center"/>
    </xf>
    <xf numFmtId="2" fontId="1" fillId="2" borderId="0" xfId="1" applyNumberFormat="1" applyAlignment="1">
      <alignment horizontal="center"/>
    </xf>
    <xf numFmtId="164" fontId="1" fillId="2" borderId="0" xfId="1" applyNumberFormat="1" applyAlignment="1">
      <alignment horizontal="center"/>
    </xf>
    <xf numFmtId="1" fontId="1" fillId="2" borderId="0" xfId="1" applyNumberFormat="1" applyAlignment="1">
      <alignment horizontal="center"/>
    </xf>
    <xf numFmtId="9" fontId="1" fillId="0" borderId="0" xfId="2" applyFont="1" applyFill="1" applyAlignment="1">
      <alignment horizontal="center"/>
    </xf>
    <xf numFmtId="0" fontId="6" fillId="4" borderId="0" xfId="0" applyFont="1" applyFill="1" applyAlignment="1">
      <alignment horizontal="center"/>
    </xf>
    <xf numFmtId="0" fontId="0" fillId="0" borderId="0" xfId="0" applyAlignment="1">
      <alignment horizontal="right"/>
    </xf>
    <xf numFmtId="0" fontId="0" fillId="7" borderId="0" xfId="0" applyFill="1" applyAlignment="1">
      <alignment horizontal="center"/>
    </xf>
    <xf numFmtId="0" fontId="2" fillId="0" borderId="0" xfId="0" applyFont="1" applyAlignment="1">
      <alignment horizontal="right"/>
    </xf>
    <xf numFmtId="165" fontId="0" fillId="0" borderId="0" xfId="0" applyNumberFormat="1" applyAlignment="1">
      <alignment horizontal="center"/>
    </xf>
    <xf numFmtId="0" fontId="10" fillId="0" borderId="0" xfId="0" applyFont="1" applyAlignment="1">
      <alignment horizontal="center"/>
    </xf>
    <xf numFmtId="0" fontId="0" fillId="0" borderId="0" xfId="0" quotePrefix="1" applyAlignment="1">
      <alignment horizontal="left"/>
    </xf>
    <xf numFmtId="165" fontId="5" fillId="5" borderId="0" xfId="3" applyNumberFormat="1" applyAlignment="1">
      <alignment horizontal="center"/>
    </xf>
    <xf numFmtId="165" fontId="5" fillId="5" borderId="0" xfId="3" applyNumberFormat="1" applyFont="1" applyAlignment="1">
      <alignment horizontal="center"/>
    </xf>
    <xf numFmtId="0" fontId="11" fillId="6" borderId="0" xfId="3" applyFont="1" applyFill="1" applyAlignment="1">
      <alignment horizontal="center"/>
    </xf>
    <xf numFmtId="165" fontId="1" fillId="2" borderId="0" xfId="1" applyNumberFormat="1" applyAlignment="1">
      <alignment horizontal="center"/>
    </xf>
    <xf numFmtId="0" fontId="9" fillId="4" borderId="0" xfId="0" applyFont="1" applyFill="1" applyAlignment="1">
      <alignment horizontal="center"/>
    </xf>
    <xf numFmtId="0" fontId="12" fillId="3" borderId="0" xfId="0" applyFont="1" applyFill="1"/>
    <xf numFmtId="0" fontId="12" fillId="3" borderId="0" xfId="0" applyFont="1" applyFill="1" applyAlignment="1">
      <alignment horizontal="center"/>
    </xf>
    <xf numFmtId="0" fontId="0" fillId="0" borderId="0" xfId="0" quotePrefix="1"/>
    <xf numFmtId="0" fontId="13" fillId="3" borderId="0" xfId="0" applyFont="1" applyFill="1"/>
    <xf numFmtId="165" fontId="5" fillId="6" borderId="0" xfId="3" applyNumberFormat="1" applyFill="1" applyAlignment="1">
      <alignment horizontal="center"/>
    </xf>
    <xf numFmtId="165" fontId="5" fillId="6" borderId="0" xfId="3" applyNumberFormat="1" applyFont="1" applyFill="1" applyAlignment="1">
      <alignment horizontal="center"/>
    </xf>
    <xf numFmtId="165" fontId="14" fillId="2" borderId="0" xfId="1" applyNumberFormat="1" applyFont="1" applyAlignment="1">
      <alignment horizontal="center"/>
    </xf>
    <xf numFmtId="1" fontId="14" fillId="2" borderId="0" xfId="1" applyNumberFormat="1" applyFont="1" applyAlignment="1">
      <alignment horizontal="center"/>
    </xf>
    <xf numFmtId="0" fontId="14" fillId="2" borderId="0" xfId="1" applyFont="1" applyAlignment="1">
      <alignment horizontal="center"/>
    </xf>
    <xf numFmtId="9" fontId="14" fillId="2" borderId="0" xfId="1" applyNumberFormat="1" applyFont="1" applyAlignment="1">
      <alignment horizontal="center"/>
    </xf>
    <xf numFmtId="9" fontId="14" fillId="2" borderId="0" xfId="2" applyFont="1" applyFill="1" applyAlignment="1">
      <alignment horizontal="center"/>
    </xf>
    <xf numFmtId="1" fontId="1" fillId="0" borderId="0" xfId="1" applyNumberFormat="1" applyFill="1" applyAlignment="1">
      <alignment horizontal="center"/>
    </xf>
    <xf numFmtId="0" fontId="0" fillId="0" borderId="0" xfId="0" applyFill="1"/>
    <xf numFmtId="0" fontId="1" fillId="0" borderId="0" xfId="1" applyFill="1" applyAlignment="1">
      <alignment horizontal="center"/>
    </xf>
    <xf numFmtId="0" fontId="10" fillId="0" borderId="0" xfId="0" applyFont="1" applyAlignment="1">
      <alignment horizontal="right"/>
    </xf>
    <xf numFmtId="0" fontId="10" fillId="0" borderId="0" xfId="0" applyFont="1"/>
    <xf numFmtId="3" fontId="1" fillId="2" borderId="0" xfId="1" applyNumberFormat="1" applyAlignment="1">
      <alignment horizontal="center"/>
    </xf>
    <xf numFmtId="0" fontId="15" fillId="0" borderId="0" xfId="0" applyFont="1" applyAlignment="1">
      <alignment horizontal="right"/>
    </xf>
    <xf numFmtId="0" fontId="0" fillId="4" borderId="0" xfId="0" applyFill="1" applyAlignment="1">
      <alignment horizontal="left"/>
    </xf>
    <xf numFmtId="0" fontId="17" fillId="3" borderId="0" xfId="0" applyFont="1" applyFill="1" applyAlignment="1">
      <alignment horizontal="left"/>
    </xf>
    <xf numFmtId="0" fontId="18" fillId="3" borderId="0" xfId="0" applyFont="1" applyFill="1" applyAlignment="1">
      <alignment horizontal="left"/>
    </xf>
    <xf numFmtId="0" fontId="16" fillId="0" borderId="0" xfId="0" applyFont="1" applyAlignment="1">
      <alignment horizontal="left"/>
    </xf>
    <xf numFmtId="0" fontId="19" fillId="0" borderId="0" xfId="0" applyFont="1" applyAlignment="1">
      <alignment horizontal="center"/>
    </xf>
    <xf numFmtId="0" fontId="20" fillId="0" borderId="0" xfId="0" applyFont="1" applyAlignment="1">
      <alignment horizontal="right"/>
    </xf>
    <xf numFmtId="0" fontId="3" fillId="0" borderId="0" xfId="0" applyFont="1" applyAlignment="1">
      <alignment horizontal="right"/>
    </xf>
    <xf numFmtId="0" fontId="20" fillId="0" borderId="0" xfId="0" applyFont="1" applyAlignment="1">
      <alignment horizontal="center"/>
    </xf>
  </cellXfs>
  <cellStyles count="4">
    <cellStyle name="Bad" xfId="1" builtinId="27"/>
    <cellStyle name="Good" xfId="3" builtinId="26"/>
    <cellStyle name="Normal" xfId="0" builtinId="0"/>
    <cellStyle name="Percent" xfId="2" builtinId="5"/>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38101</xdr:colOff>
      <xdr:row>10</xdr:row>
      <xdr:rowOff>76200</xdr:rowOff>
    </xdr:from>
    <xdr:to>
      <xdr:col>17</xdr:col>
      <xdr:colOff>285751</xdr:colOff>
      <xdr:row>16</xdr:row>
      <xdr:rowOff>85726</xdr:rowOff>
    </xdr:to>
    <xdr:sp macro="" textlink="">
      <xdr:nvSpPr>
        <xdr:cNvPr id="2" name="TextBox 1">
          <a:extLst>
            <a:ext uri="{FF2B5EF4-FFF2-40B4-BE49-F238E27FC236}">
              <a16:creationId xmlns:a16="http://schemas.microsoft.com/office/drawing/2014/main" id="{07217534-9CFB-4F2D-A957-A17CC551087A}"/>
            </a:ext>
          </a:extLst>
        </xdr:cNvPr>
        <xdr:cNvSpPr txBox="1"/>
      </xdr:nvSpPr>
      <xdr:spPr>
        <a:xfrm>
          <a:off x="10934701" y="2028825"/>
          <a:ext cx="2076450" cy="115252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You will not lose any weight if sugar intake is adequate to fuel the day's activity agenda. Only if there is a shortage of blood sugar will the body draw</a:t>
          </a:r>
          <a:r>
            <a:rPr lang="en-US" sz="1100" baseline="0"/>
            <a:t> upon fat stores to energize motion.</a:t>
          </a:r>
          <a:endParaRPr lang="en-US" sz="1100"/>
        </a:p>
      </xdr:txBody>
    </xdr:sp>
    <xdr:clientData/>
  </xdr:twoCellAnchor>
  <xdr:twoCellAnchor>
    <xdr:from>
      <xdr:col>13</xdr:col>
      <xdr:colOff>371475</xdr:colOff>
      <xdr:row>17</xdr:row>
      <xdr:rowOff>28574</xdr:rowOff>
    </xdr:from>
    <xdr:to>
      <xdr:col>18</xdr:col>
      <xdr:colOff>276225</xdr:colOff>
      <xdr:row>34</xdr:row>
      <xdr:rowOff>95250</xdr:rowOff>
    </xdr:to>
    <xdr:sp macro="" textlink="">
      <xdr:nvSpPr>
        <xdr:cNvPr id="3" name="TextBox 2">
          <a:extLst>
            <a:ext uri="{FF2B5EF4-FFF2-40B4-BE49-F238E27FC236}">
              <a16:creationId xmlns:a16="http://schemas.microsoft.com/office/drawing/2014/main" id="{EAE3C56B-436F-45BC-8084-F702A7B93232}"/>
            </a:ext>
          </a:extLst>
        </xdr:cNvPr>
        <xdr:cNvSpPr txBox="1"/>
      </xdr:nvSpPr>
      <xdr:spPr>
        <a:xfrm>
          <a:off x="11506200" y="3352799"/>
          <a:ext cx="2952750" cy="336232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you intake more sugar than the day requires or than good health demands, it will turn to fat. If you take in</a:t>
          </a:r>
          <a:r>
            <a:rPr lang="en-US" sz="1100" baseline="0"/>
            <a:t> less sugar than the day requires, your body will sacrifice fat stores and you will lose weight. If sugar potency of your beverage menu is too high, you  will produce fat cells and possibly deprive you body of water sufficiency (dehydrate). If sugar potency of your beverage array is too low, you may not dehydrate, but you may  become less energetic as the body is forced to draw upon fat stores to meet the activity demand of the day. Some weight management experts advocate taking supplements like guarana to meet the energy need while the body is compelled to sacrifice fat stores. Those with an activity schedule slanted towards sedentary may consider weight-loss supplements like Chromium Picolinate to keep body weight in line.</a:t>
          </a:r>
          <a:endParaRPr lang="en-US" sz="1100"/>
        </a:p>
      </xdr:txBody>
    </xdr:sp>
    <xdr:clientData/>
  </xdr:twoCellAnchor>
  <xdr:twoCellAnchor>
    <xdr:from>
      <xdr:col>18</xdr:col>
      <xdr:colOff>9525</xdr:colOff>
      <xdr:row>10</xdr:row>
      <xdr:rowOff>123825</xdr:rowOff>
    </xdr:from>
    <xdr:to>
      <xdr:col>22</xdr:col>
      <xdr:colOff>590550</xdr:colOff>
      <xdr:row>14</xdr:row>
      <xdr:rowOff>47625</xdr:rowOff>
    </xdr:to>
    <xdr:sp macro="" textlink="">
      <xdr:nvSpPr>
        <xdr:cNvPr id="4" name="TextBox 3">
          <a:extLst>
            <a:ext uri="{FF2B5EF4-FFF2-40B4-BE49-F238E27FC236}">
              <a16:creationId xmlns:a16="http://schemas.microsoft.com/office/drawing/2014/main" id="{AA073196-8C96-4BB3-8107-10B3C4BF362A}"/>
            </a:ext>
          </a:extLst>
        </xdr:cNvPr>
        <xdr:cNvSpPr txBox="1"/>
      </xdr:nvSpPr>
      <xdr:spPr>
        <a:xfrm>
          <a:off x="14192250" y="2114550"/>
          <a:ext cx="3019425" cy="6858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Keeping sugar and protein inputs in a fit and healthy range will deliver</a:t>
          </a:r>
          <a:r>
            <a:rPr lang="en-US" sz="1100" baseline="0"/>
            <a:t> stamina for an active day without adding fat pounds.</a:t>
          </a:r>
          <a:endParaRPr lang="en-US" sz="1100"/>
        </a:p>
      </xdr:txBody>
    </xdr:sp>
    <xdr:clientData/>
  </xdr:twoCellAnchor>
  <xdr:twoCellAnchor>
    <xdr:from>
      <xdr:col>0</xdr:col>
      <xdr:colOff>257175</xdr:colOff>
      <xdr:row>44</xdr:row>
      <xdr:rowOff>57150</xdr:rowOff>
    </xdr:from>
    <xdr:to>
      <xdr:col>6</xdr:col>
      <xdr:colOff>447675</xdr:colOff>
      <xdr:row>48</xdr:row>
      <xdr:rowOff>142875</xdr:rowOff>
    </xdr:to>
    <xdr:sp macro="" textlink="">
      <xdr:nvSpPr>
        <xdr:cNvPr id="5" name="TextBox 4">
          <a:extLst>
            <a:ext uri="{FF2B5EF4-FFF2-40B4-BE49-F238E27FC236}">
              <a16:creationId xmlns:a16="http://schemas.microsoft.com/office/drawing/2014/main" id="{E5835FB7-EBEF-42B7-BD47-459C9F57DED0}"/>
            </a:ext>
          </a:extLst>
        </xdr:cNvPr>
        <xdr:cNvSpPr txBox="1"/>
      </xdr:nvSpPr>
      <xdr:spPr>
        <a:xfrm>
          <a:off x="257175" y="8515350"/>
          <a:ext cx="5676900" cy="847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Make sure</a:t>
          </a:r>
          <a:r>
            <a:rPr lang="en-US" sz="1100" baseline="0"/>
            <a:t> your liquids menu for the day is sufficient for good hydration health. Ensure that your diet energy (Calorie investment) is appropriate for the activity day. Check to see that the sugar balance for your diet is reasonable. Modify the day's beverage menu for richer or leaner sugar content as needed. Adjust the beverage mix for cost if that expense is higher than you desire.</a:t>
          </a:r>
          <a:endParaRPr lang="en-US" sz="1100"/>
        </a:p>
      </xdr:txBody>
    </xdr:sp>
    <xdr:clientData/>
  </xdr:twoCellAnchor>
  <xdr:twoCellAnchor>
    <xdr:from>
      <xdr:col>7</xdr:col>
      <xdr:colOff>142875</xdr:colOff>
      <xdr:row>31</xdr:row>
      <xdr:rowOff>57148</xdr:rowOff>
    </xdr:from>
    <xdr:to>
      <xdr:col>13</xdr:col>
      <xdr:colOff>9525</xdr:colOff>
      <xdr:row>49</xdr:row>
      <xdr:rowOff>95250</xdr:rowOff>
    </xdr:to>
    <xdr:sp macro="" textlink="">
      <xdr:nvSpPr>
        <xdr:cNvPr id="6" name="TextBox 5">
          <a:extLst>
            <a:ext uri="{FF2B5EF4-FFF2-40B4-BE49-F238E27FC236}">
              <a16:creationId xmlns:a16="http://schemas.microsoft.com/office/drawing/2014/main" id="{0D65F5D7-4114-46D0-B74A-566D11F9D099}"/>
            </a:ext>
          </a:extLst>
        </xdr:cNvPr>
        <xdr:cNvSpPr txBox="1"/>
      </xdr:nvSpPr>
      <xdr:spPr>
        <a:xfrm>
          <a:off x="6238875" y="6057898"/>
          <a:ext cx="4905375" cy="3514727"/>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a:t>
          </a:r>
          <a:r>
            <a:rPr lang="en-US" sz="1100" b="1"/>
            <a:t>Beverage Manager Philosophy </a:t>
          </a:r>
          <a:r>
            <a:rPr lang="en-US" sz="1100"/>
            <a:t>regards liquid intake as the primary way to fine-tune diet energy to meet planned or unfolding activity needs of the day. The widening availability of portable sugary drinks of diverse potency invests the liquids menu with generally greater flexibility to adjust the body's energy reserves than solid food at scheduled meals or purchaseable snacks. Based upon average sugar potency of the American beverage portfolio, it is quite</a:t>
          </a:r>
          <a:r>
            <a:rPr lang="en-US" sz="1100" baseline="0"/>
            <a:t> easy to meet or exceed prescribed standards for sugar health well before the body's water replacement needs have been met.</a:t>
          </a:r>
          <a:r>
            <a:rPr lang="en-US" sz="1100"/>
            <a:t> Accordingly, Beverage Management is a Key Success Factor to sweet, energy-fit</a:t>
          </a:r>
          <a:r>
            <a:rPr lang="en-US" sz="1100" baseline="0"/>
            <a:t> living, but carries a bitter diabetic downside-risk if mismanaged. </a:t>
          </a:r>
        </a:p>
        <a:p>
          <a:r>
            <a:rPr lang="en-US" sz="1100" baseline="0"/>
            <a:t>You are encouraged to methodically work the Beverage Manager until its key levers become second-nature, your desired activity style stabilizes, and your diet settles into a fit, enjoyable habit. </a:t>
          </a:r>
        </a:p>
        <a:p>
          <a:endParaRPr lang="en-US" sz="1100" baseline="0"/>
        </a:p>
        <a:p>
          <a:pPr algn="ctr"/>
          <a:r>
            <a:rPr lang="en-US" sz="1100" baseline="0"/>
            <a:t>In Christ,</a:t>
          </a:r>
        </a:p>
        <a:p>
          <a:pPr algn="ctr"/>
          <a:r>
            <a:rPr lang="en-US" sz="1100" baseline="0"/>
            <a:t>William C. Patterson, Ph.D.</a:t>
          </a:r>
        </a:p>
        <a:p>
          <a:pPr algn="ctr"/>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i="1" baseline="0">
              <a:solidFill>
                <a:schemeClr val="dk1"/>
              </a:solidFill>
              <a:effectLst/>
              <a:latin typeface="+mn-lt"/>
              <a:ea typeface="+mn-ea"/>
              <a:cs typeface="+mn-cs"/>
            </a:rPr>
            <a:t>Nearly 10% of Americans (30 million) are diabetic, and 1.5 million new cases are reported annually. Derivative health cost is $330 billion and rising. It is the 7th leading cause of death.</a:t>
          </a:r>
          <a:endParaRPr lang="en-US" i="1">
            <a:effectLst/>
          </a:endParaRPr>
        </a:p>
        <a:p>
          <a:pPr algn="ctr"/>
          <a:endParaRPr lang="en-US" sz="1100"/>
        </a:p>
      </xdr:txBody>
    </xdr:sp>
    <xdr:clientData/>
  </xdr:twoCellAnchor>
  <xdr:twoCellAnchor>
    <xdr:from>
      <xdr:col>22</xdr:col>
      <xdr:colOff>85725</xdr:colOff>
      <xdr:row>32</xdr:row>
      <xdr:rowOff>142875</xdr:rowOff>
    </xdr:from>
    <xdr:to>
      <xdr:col>26</xdr:col>
      <xdr:colOff>304801</xdr:colOff>
      <xdr:row>39</xdr:row>
      <xdr:rowOff>133350</xdr:rowOff>
    </xdr:to>
    <xdr:sp macro="" textlink="">
      <xdr:nvSpPr>
        <xdr:cNvPr id="7" name="TextBox 6">
          <a:extLst>
            <a:ext uri="{FF2B5EF4-FFF2-40B4-BE49-F238E27FC236}">
              <a16:creationId xmlns:a16="http://schemas.microsoft.com/office/drawing/2014/main" id="{8129267A-EB1F-4B0A-B7F2-D418A9FB9664}"/>
            </a:ext>
          </a:extLst>
        </xdr:cNvPr>
        <xdr:cNvSpPr txBox="1"/>
      </xdr:nvSpPr>
      <xdr:spPr>
        <a:xfrm>
          <a:off x="16706850" y="6315075"/>
          <a:ext cx="2657476" cy="13239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Beverages supply liquid for the body's</a:t>
          </a:r>
          <a:r>
            <a:rPr lang="en-US" sz="1100" baseline="0"/>
            <a:t> vital water reservoirs, chiefly musculature (1/3 to 1/2 of total body water) and vascular system (blood is about 1/8 of total body water). Daily water intake is about 5% to 10% of the body's total water reservoir (about 60% of body weight is water).</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9"/>
  <sheetViews>
    <sheetView tabSelected="1" topLeftCell="A16" workbookViewId="0">
      <selection activeCell="B42" sqref="B42"/>
    </sheetView>
  </sheetViews>
  <sheetFormatPr defaultRowHeight="15" x14ac:dyDescent="0.25"/>
  <cols>
    <col min="1" max="1" width="24.140625" customWidth="1"/>
    <col min="2" max="4" width="12.7109375" customWidth="1"/>
    <col min="6" max="6" width="10.85546875" customWidth="1"/>
    <col min="8" max="8" width="21.140625" customWidth="1"/>
    <col min="11" max="11" width="11.85546875" customWidth="1"/>
    <col min="13" max="13" width="10.7109375" customWidth="1"/>
  </cols>
  <sheetData>
    <row r="1" spans="1:27" ht="21" x14ac:dyDescent="0.35">
      <c r="A1" s="32" t="s">
        <v>103</v>
      </c>
      <c r="B1" s="3"/>
      <c r="C1" s="29" t="s">
        <v>10</v>
      </c>
      <c r="D1" s="4"/>
      <c r="E1" s="29"/>
      <c r="F1" s="30">
        <v>2018</v>
      </c>
      <c r="G1" s="4"/>
      <c r="H1" s="48" t="s">
        <v>104</v>
      </c>
      <c r="I1" s="4"/>
      <c r="J1" s="4"/>
      <c r="K1" s="4"/>
      <c r="L1" s="4"/>
      <c r="M1" s="4"/>
      <c r="N1" s="4"/>
      <c r="O1" s="4"/>
      <c r="P1" s="49" t="s">
        <v>105</v>
      </c>
      <c r="Q1" s="4"/>
      <c r="R1" s="4"/>
      <c r="S1" s="4"/>
      <c r="T1" s="4"/>
      <c r="U1" s="4"/>
      <c r="V1" s="4"/>
      <c r="W1" s="4"/>
      <c r="X1" s="4"/>
      <c r="Y1" s="4"/>
      <c r="Z1" s="4"/>
      <c r="AA1" s="4"/>
    </row>
    <row r="2" spans="1:27" x14ac:dyDescent="0.25">
      <c r="A2" s="5"/>
      <c r="B2" s="5"/>
      <c r="C2" s="5"/>
      <c r="D2" s="17" t="s">
        <v>68</v>
      </c>
      <c r="E2" s="17"/>
      <c r="F2" s="5"/>
      <c r="G2" s="5"/>
      <c r="H2" s="47"/>
      <c r="I2" s="5"/>
      <c r="J2" s="5"/>
      <c r="K2" s="17" t="s">
        <v>69</v>
      </c>
      <c r="L2" s="5"/>
      <c r="M2" s="5"/>
      <c r="N2" s="5"/>
      <c r="O2" s="5"/>
      <c r="P2" s="17" t="s">
        <v>24</v>
      </c>
      <c r="Q2" s="5"/>
      <c r="R2" s="28"/>
      <c r="S2" s="17"/>
      <c r="T2" s="5"/>
      <c r="U2" s="17" t="s">
        <v>70</v>
      </c>
      <c r="V2" s="5"/>
      <c r="W2" s="5"/>
      <c r="X2" s="5"/>
      <c r="Y2" s="5"/>
      <c r="Z2" s="5"/>
      <c r="AA2" s="5"/>
    </row>
    <row r="3" spans="1:27" x14ac:dyDescent="0.25">
      <c r="A3" s="6" t="s">
        <v>0</v>
      </c>
      <c r="B3" s="6" t="s">
        <v>55</v>
      </c>
      <c r="C3" s="6" t="s">
        <v>75</v>
      </c>
      <c r="D3" s="6" t="s">
        <v>1</v>
      </c>
      <c r="E3" s="6" t="s">
        <v>11</v>
      </c>
      <c r="F3" s="6" t="s">
        <v>13</v>
      </c>
      <c r="G3" s="6"/>
      <c r="H3" s="6" t="s">
        <v>0</v>
      </c>
      <c r="I3" s="6" t="s">
        <v>55</v>
      </c>
      <c r="J3" s="6" t="s">
        <v>75</v>
      </c>
      <c r="K3" s="6" t="s">
        <v>1</v>
      </c>
      <c r="L3" s="6" t="s">
        <v>11</v>
      </c>
      <c r="M3" s="6" t="s">
        <v>13</v>
      </c>
      <c r="U3" s="2" t="s">
        <v>37</v>
      </c>
    </row>
    <row r="4" spans="1:27" ht="15.75" x14ac:dyDescent="0.25">
      <c r="A4" s="8" t="s">
        <v>12</v>
      </c>
      <c r="B4" s="33">
        <f>0.89/128</f>
        <v>6.9531250000000001E-3</v>
      </c>
      <c r="C4" s="27">
        <f t="shared" ref="C4:C29" si="0">E4/8*B4</f>
        <v>1.04296875E-2</v>
      </c>
      <c r="D4" s="12">
        <v>0</v>
      </c>
      <c r="E4" s="11">
        <v>12</v>
      </c>
      <c r="F4" s="7">
        <f t="shared" ref="F4:F29" si="1">E4*D4/8</f>
        <v>0</v>
      </c>
      <c r="H4" s="8" t="s">
        <v>12</v>
      </c>
      <c r="I4" s="24">
        <f>0.89/128</f>
        <v>6.9531250000000001E-3</v>
      </c>
      <c r="J4" s="27">
        <f t="shared" ref="J4:J29" si="2">L4/8*I4</f>
        <v>1.04296875E-2</v>
      </c>
      <c r="K4" s="12">
        <v>0</v>
      </c>
      <c r="L4" s="11">
        <v>12</v>
      </c>
      <c r="M4" s="7">
        <f t="shared" ref="M4:M29" si="3">L4*K4/8</f>
        <v>0</v>
      </c>
      <c r="P4" s="54" t="s">
        <v>25</v>
      </c>
      <c r="Q4" s="6" t="s">
        <v>36</v>
      </c>
      <c r="S4" s="52" t="s">
        <v>118</v>
      </c>
      <c r="T4" s="6" t="s">
        <v>28</v>
      </c>
      <c r="U4" s="6" t="s">
        <v>38</v>
      </c>
      <c r="V4" s="6" t="s">
        <v>39</v>
      </c>
      <c r="W4" s="6" t="s">
        <v>43</v>
      </c>
    </row>
    <row r="5" spans="1:27" x14ac:dyDescent="0.25">
      <c r="A5" t="s">
        <v>3</v>
      </c>
      <c r="B5" s="33">
        <f>1.99/67.6*8</f>
        <v>0.23550295857988168</v>
      </c>
      <c r="C5" s="27">
        <f t="shared" si="0"/>
        <v>0.35325443786982252</v>
      </c>
      <c r="D5" s="12">
        <v>0</v>
      </c>
      <c r="E5" s="11">
        <v>12</v>
      </c>
      <c r="F5" s="7">
        <f t="shared" si="1"/>
        <v>0</v>
      </c>
      <c r="H5" t="s">
        <v>62</v>
      </c>
      <c r="I5" s="24">
        <f>3.49/128</f>
        <v>2.7265625000000002E-2</v>
      </c>
      <c r="J5" s="27">
        <f t="shared" si="2"/>
        <v>0</v>
      </c>
      <c r="K5" s="12">
        <v>23</v>
      </c>
      <c r="L5" s="11"/>
      <c r="M5" s="7">
        <f t="shared" si="3"/>
        <v>0</v>
      </c>
      <c r="P5" s="18" t="s">
        <v>26</v>
      </c>
      <c r="Q5" s="19">
        <v>10</v>
      </c>
      <c r="S5" t="s">
        <v>32</v>
      </c>
      <c r="T5" s="1">
        <v>11.2</v>
      </c>
      <c r="U5" s="15">
        <f t="shared" ref="U5:U10" si="4">$F$30*4/T5</f>
        <v>27.142857142857146</v>
      </c>
      <c r="V5" s="14">
        <f t="shared" ref="V5:V10" si="5">U5/60</f>
        <v>0.45238095238095244</v>
      </c>
      <c r="W5" s="7" t="s">
        <v>44</v>
      </c>
    </row>
    <row r="6" spans="1:27" x14ac:dyDescent="0.25">
      <c r="A6" t="s">
        <v>60</v>
      </c>
      <c r="B6" s="33">
        <f>1.99/67.6*8</f>
        <v>0.23550295857988168</v>
      </c>
      <c r="C6" s="27">
        <f t="shared" si="0"/>
        <v>0</v>
      </c>
      <c r="D6" s="12">
        <v>0</v>
      </c>
      <c r="E6" s="11"/>
      <c r="F6" s="7">
        <f t="shared" si="1"/>
        <v>0</v>
      </c>
      <c r="H6" t="s">
        <v>2</v>
      </c>
      <c r="I6" s="24">
        <f>1.78/64</f>
        <v>2.78125E-2</v>
      </c>
      <c r="J6" s="27">
        <f t="shared" si="2"/>
        <v>0</v>
      </c>
      <c r="K6" s="12">
        <v>11</v>
      </c>
      <c r="L6" s="11"/>
      <c r="M6" s="7">
        <f t="shared" si="3"/>
        <v>0</v>
      </c>
      <c r="P6" s="18" t="s">
        <v>35</v>
      </c>
      <c r="Q6" s="7">
        <f>Q5/4</f>
        <v>2.5</v>
      </c>
      <c r="S6" t="s">
        <v>27</v>
      </c>
      <c r="T6" s="1">
        <v>10</v>
      </c>
      <c r="U6" s="15">
        <f t="shared" si="4"/>
        <v>30.4</v>
      </c>
      <c r="V6" s="14">
        <f t="shared" si="5"/>
        <v>0.5066666666666666</v>
      </c>
      <c r="W6" s="7" t="s">
        <v>44</v>
      </c>
    </row>
    <row r="7" spans="1:27" x14ac:dyDescent="0.25">
      <c r="A7" t="s">
        <v>59</v>
      </c>
      <c r="B7" s="33">
        <f>2.19/67.6*8</f>
        <v>0.25917159763313613</v>
      </c>
      <c r="C7" s="27">
        <f t="shared" si="0"/>
        <v>0</v>
      </c>
      <c r="D7" s="12">
        <v>0</v>
      </c>
      <c r="E7" s="11"/>
      <c r="F7" s="7">
        <f t="shared" si="1"/>
        <v>0</v>
      </c>
      <c r="H7" t="s">
        <v>18</v>
      </c>
      <c r="I7" s="24">
        <f>2.99/64</f>
        <v>4.6718750000000003E-2</v>
      </c>
      <c r="J7" s="27">
        <f t="shared" si="2"/>
        <v>0</v>
      </c>
      <c r="K7" s="26">
        <v>24</v>
      </c>
      <c r="L7" s="11"/>
      <c r="M7" s="7">
        <f t="shared" si="3"/>
        <v>0</v>
      </c>
      <c r="P7" s="18" t="s">
        <v>34</v>
      </c>
      <c r="Q7" s="14">
        <f>Q5/9</f>
        <v>1.1111111111111112</v>
      </c>
      <c r="S7" t="s">
        <v>29</v>
      </c>
      <c r="T7" s="1">
        <v>3.3</v>
      </c>
      <c r="U7" s="15">
        <f t="shared" si="4"/>
        <v>92.121212121212125</v>
      </c>
      <c r="V7" s="14">
        <f t="shared" si="5"/>
        <v>1.5353535353535355</v>
      </c>
      <c r="W7" s="7" t="s">
        <v>44</v>
      </c>
    </row>
    <row r="8" spans="1:27" x14ac:dyDescent="0.25">
      <c r="A8" t="s">
        <v>58</v>
      </c>
      <c r="B8" s="33">
        <f>2.29/67.6*8</f>
        <v>0.27100591715976335</v>
      </c>
      <c r="C8" s="27">
        <f t="shared" si="0"/>
        <v>0</v>
      </c>
      <c r="D8" s="12">
        <v>0</v>
      </c>
      <c r="E8" s="11"/>
      <c r="F8" s="7">
        <f t="shared" si="1"/>
        <v>0</v>
      </c>
      <c r="H8" t="s">
        <v>14</v>
      </c>
      <c r="I8" s="24">
        <f>3.49/64</f>
        <v>5.4531250000000003E-2</v>
      </c>
      <c r="J8" s="27">
        <f t="shared" si="2"/>
        <v>0</v>
      </c>
      <c r="K8" s="12">
        <v>7</v>
      </c>
      <c r="L8" s="11"/>
      <c r="M8" s="7">
        <f t="shared" si="3"/>
        <v>0</v>
      </c>
      <c r="P8" s="18" t="s">
        <v>40</v>
      </c>
      <c r="Q8" s="11">
        <v>1</v>
      </c>
      <c r="S8" t="s">
        <v>33</v>
      </c>
      <c r="T8" s="1">
        <v>2.2000000000000002</v>
      </c>
      <c r="U8" s="15">
        <f t="shared" si="4"/>
        <v>138.18181818181816</v>
      </c>
      <c r="V8" s="14">
        <f t="shared" si="5"/>
        <v>2.3030303030303028</v>
      </c>
      <c r="W8" s="7" t="s">
        <v>45</v>
      </c>
    </row>
    <row r="9" spans="1:27" x14ac:dyDescent="0.25">
      <c r="A9" t="s">
        <v>64</v>
      </c>
      <c r="B9" s="33">
        <f>2/46*8</f>
        <v>0.34782608695652173</v>
      </c>
      <c r="C9" s="27">
        <f t="shared" si="0"/>
        <v>0</v>
      </c>
      <c r="D9" s="12">
        <v>0</v>
      </c>
      <c r="E9" s="11"/>
      <c r="F9" s="7">
        <f t="shared" si="1"/>
        <v>0</v>
      </c>
      <c r="H9" t="s">
        <v>5</v>
      </c>
      <c r="I9" s="24">
        <f>3.79/59</f>
        <v>6.4237288135593221E-2</v>
      </c>
      <c r="J9" s="27">
        <f t="shared" si="2"/>
        <v>0</v>
      </c>
      <c r="K9" s="12">
        <v>20</v>
      </c>
      <c r="L9" s="11"/>
      <c r="M9" s="7">
        <f t="shared" si="3"/>
        <v>0</v>
      </c>
      <c r="P9" s="18" t="s">
        <v>41</v>
      </c>
      <c r="Q9" s="13">
        <f>Q7*Q8*60/454</f>
        <v>0.14684287812041116</v>
      </c>
      <c r="S9" t="s">
        <v>30</v>
      </c>
      <c r="T9" s="1">
        <v>1.7</v>
      </c>
      <c r="U9" s="15">
        <f t="shared" si="4"/>
        <v>178.82352941176472</v>
      </c>
      <c r="V9" s="14">
        <f t="shared" si="5"/>
        <v>2.9803921568627456</v>
      </c>
      <c r="W9" s="7" t="s">
        <v>45</v>
      </c>
    </row>
    <row r="10" spans="1:27" x14ac:dyDescent="0.25">
      <c r="A10" t="s">
        <v>79</v>
      </c>
      <c r="B10" s="34">
        <v>0.19</v>
      </c>
      <c r="C10" s="27">
        <f t="shared" si="0"/>
        <v>0</v>
      </c>
      <c r="D10" s="12">
        <v>0</v>
      </c>
      <c r="E10" s="11"/>
      <c r="F10" s="7">
        <f t="shared" si="1"/>
        <v>0</v>
      </c>
      <c r="G10" s="1"/>
      <c r="H10" t="s">
        <v>4</v>
      </c>
      <c r="I10" s="24">
        <f>3.79/59</f>
        <v>6.4237288135593221E-2</v>
      </c>
      <c r="J10" s="27">
        <f t="shared" si="2"/>
        <v>4.8177966101694919E-2</v>
      </c>
      <c r="K10" s="12">
        <v>22</v>
      </c>
      <c r="L10" s="11">
        <v>6</v>
      </c>
      <c r="M10" s="7">
        <f t="shared" si="3"/>
        <v>16.5</v>
      </c>
      <c r="P10" s="18" t="s">
        <v>42</v>
      </c>
      <c r="Q10" s="14">
        <f>Q9*30</f>
        <v>4.4052863436123353</v>
      </c>
      <c r="S10" t="s">
        <v>31</v>
      </c>
      <c r="T10" s="1">
        <v>1</v>
      </c>
      <c r="U10" s="15">
        <f t="shared" si="4"/>
        <v>304</v>
      </c>
      <c r="V10" s="14">
        <f t="shared" si="5"/>
        <v>5.0666666666666664</v>
      </c>
      <c r="W10" s="7" t="s">
        <v>45</v>
      </c>
    </row>
    <row r="11" spans="1:27" x14ac:dyDescent="0.25">
      <c r="A11" t="s">
        <v>6</v>
      </c>
      <c r="B11" s="33">
        <f>5/40*6</f>
        <v>0.75</v>
      </c>
      <c r="C11" s="27">
        <f t="shared" si="0"/>
        <v>0</v>
      </c>
      <c r="D11" s="12">
        <v>0.1</v>
      </c>
      <c r="E11" s="11"/>
      <c r="F11" s="7">
        <f t="shared" si="1"/>
        <v>0</v>
      </c>
      <c r="H11" t="s">
        <v>66</v>
      </c>
      <c r="I11" s="24">
        <f>4.79/(90*6)*8</f>
        <v>7.0962962962962964E-2</v>
      </c>
      <c r="J11" s="27">
        <f t="shared" si="2"/>
        <v>5.3222222222222226E-2</v>
      </c>
      <c r="K11" s="12">
        <v>12</v>
      </c>
      <c r="L11" s="11">
        <v>6</v>
      </c>
      <c r="M11" s="7">
        <f t="shared" si="3"/>
        <v>9</v>
      </c>
    </row>
    <row r="12" spans="1:27" x14ac:dyDescent="0.25">
      <c r="A12" t="s">
        <v>82</v>
      </c>
      <c r="B12" s="34">
        <f>1.5/59*8</f>
        <v>0.20338983050847459</v>
      </c>
      <c r="C12" s="27">
        <f t="shared" si="0"/>
        <v>0</v>
      </c>
      <c r="D12" s="12">
        <v>2</v>
      </c>
      <c r="E12" s="11"/>
      <c r="F12" s="7">
        <f t="shared" si="1"/>
        <v>0</v>
      </c>
      <c r="G12" s="1"/>
      <c r="H12" t="s">
        <v>63</v>
      </c>
      <c r="I12" s="24">
        <f>3.49/46</f>
        <v>7.5869565217391313E-2</v>
      </c>
      <c r="J12" s="27">
        <f t="shared" si="2"/>
        <v>5.6902173913043488E-2</v>
      </c>
      <c r="K12" s="12">
        <v>22</v>
      </c>
      <c r="L12" s="11">
        <v>6</v>
      </c>
      <c r="M12" s="7">
        <f t="shared" si="3"/>
        <v>16.5</v>
      </c>
    </row>
    <row r="13" spans="1:27" x14ac:dyDescent="0.25">
      <c r="A13" t="s">
        <v>17</v>
      </c>
      <c r="B13" s="33">
        <f>6/32*8</f>
        <v>1.5</v>
      </c>
      <c r="C13" s="27">
        <f t="shared" si="0"/>
        <v>0</v>
      </c>
      <c r="D13" s="12">
        <v>2</v>
      </c>
      <c r="E13" s="11"/>
      <c r="F13" s="7">
        <f t="shared" si="1"/>
        <v>0</v>
      </c>
      <c r="G13" s="1"/>
      <c r="H13" t="s">
        <v>65</v>
      </c>
      <c r="I13" s="24">
        <f>6.49/(20*32)*8</f>
        <v>8.1125000000000003E-2</v>
      </c>
      <c r="J13" s="27">
        <f t="shared" si="2"/>
        <v>0.16225000000000001</v>
      </c>
      <c r="K13" s="12">
        <v>17</v>
      </c>
      <c r="L13" s="11">
        <v>16</v>
      </c>
      <c r="M13" s="7">
        <f t="shared" si="3"/>
        <v>34</v>
      </c>
    </row>
    <row r="14" spans="1:27" x14ac:dyDescent="0.25">
      <c r="A14" t="s">
        <v>14</v>
      </c>
      <c r="B14" s="33">
        <f>3.49/64</f>
        <v>5.4531250000000003E-2</v>
      </c>
      <c r="C14" s="27">
        <f t="shared" si="0"/>
        <v>0</v>
      </c>
      <c r="D14" s="12">
        <v>7</v>
      </c>
      <c r="E14" s="11"/>
      <c r="F14" s="7">
        <f t="shared" si="1"/>
        <v>0</v>
      </c>
      <c r="H14" t="s">
        <v>79</v>
      </c>
      <c r="I14" s="25">
        <v>0.19</v>
      </c>
      <c r="J14" s="27">
        <f t="shared" si="2"/>
        <v>0</v>
      </c>
      <c r="K14" s="12">
        <v>0</v>
      </c>
      <c r="L14" s="11"/>
      <c r="M14" s="7">
        <f t="shared" si="3"/>
        <v>0</v>
      </c>
    </row>
    <row r="15" spans="1:27" x14ac:dyDescent="0.25">
      <c r="A15" t="s">
        <v>2</v>
      </c>
      <c r="B15" s="33">
        <f>1.78/64</f>
        <v>2.78125E-2</v>
      </c>
      <c r="C15" s="27">
        <f t="shared" si="0"/>
        <v>0</v>
      </c>
      <c r="D15" s="12">
        <v>11</v>
      </c>
      <c r="E15" s="11"/>
      <c r="F15" s="7">
        <f t="shared" si="1"/>
        <v>0</v>
      </c>
      <c r="H15" t="s">
        <v>82</v>
      </c>
      <c r="I15" s="24">
        <v>0.2</v>
      </c>
      <c r="J15" s="27">
        <f t="shared" si="2"/>
        <v>0</v>
      </c>
      <c r="K15" s="12">
        <v>2</v>
      </c>
      <c r="L15" s="11"/>
      <c r="M15" s="7">
        <f t="shared" si="3"/>
        <v>0</v>
      </c>
    </row>
    <row r="16" spans="1:27" x14ac:dyDescent="0.25">
      <c r="A16" t="s">
        <v>66</v>
      </c>
      <c r="B16" s="33">
        <f>4.79/(90*6)*8</f>
        <v>7.0962962962962964E-2</v>
      </c>
      <c r="C16" s="27">
        <f t="shared" si="0"/>
        <v>5.3222222222222226E-2</v>
      </c>
      <c r="D16" s="12">
        <v>12</v>
      </c>
      <c r="E16" s="11">
        <v>6</v>
      </c>
      <c r="F16" s="7">
        <f t="shared" si="1"/>
        <v>9</v>
      </c>
      <c r="H16" t="s">
        <v>3</v>
      </c>
      <c r="I16" s="24">
        <f>1.99/67.6*8</f>
        <v>0.23550295857988168</v>
      </c>
      <c r="J16" s="27">
        <f t="shared" si="2"/>
        <v>0.35325443786982252</v>
      </c>
      <c r="K16" s="12">
        <v>0</v>
      </c>
      <c r="L16" s="11">
        <v>12</v>
      </c>
      <c r="M16" s="7">
        <f t="shared" si="3"/>
        <v>0</v>
      </c>
    </row>
    <row r="17" spans="1:23" x14ac:dyDescent="0.25">
      <c r="A17" t="s">
        <v>19</v>
      </c>
      <c r="B17" s="33">
        <f>1.59/16*8</f>
        <v>0.79500000000000004</v>
      </c>
      <c r="C17" s="27">
        <f t="shared" si="0"/>
        <v>0</v>
      </c>
      <c r="D17" s="12">
        <v>12</v>
      </c>
      <c r="E17" s="11"/>
      <c r="F17" s="7">
        <f t="shared" si="1"/>
        <v>0</v>
      </c>
      <c r="H17" t="s">
        <v>60</v>
      </c>
      <c r="I17" s="24">
        <f>1.99/67.6*8</f>
        <v>0.23550295857988168</v>
      </c>
      <c r="J17" s="27">
        <f t="shared" si="2"/>
        <v>0</v>
      </c>
      <c r="K17" s="12">
        <v>0</v>
      </c>
      <c r="L17" s="11"/>
      <c r="M17" s="7">
        <f t="shared" si="3"/>
        <v>0</v>
      </c>
    </row>
    <row r="18" spans="1:23" ht="15.75" x14ac:dyDescent="0.25">
      <c r="A18" t="s">
        <v>65</v>
      </c>
      <c r="B18" s="33">
        <f>6.49/(20*32)*8</f>
        <v>8.1125000000000003E-2</v>
      </c>
      <c r="C18" s="27">
        <f t="shared" si="0"/>
        <v>0.16225000000000001</v>
      </c>
      <c r="D18" s="12">
        <v>17</v>
      </c>
      <c r="E18" s="11">
        <v>16</v>
      </c>
      <c r="F18" s="7">
        <f t="shared" si="1"/>
        <v>34</v>
      </c>
      <c r="H18" t="s">
        <v>15</v>
      </c>
      <c r="I18" s="24">
        <f>1.99/67.6*8</f>
        <v>0.23550295857988168</v>
      </c>
      <c r="J18" s="27">
        <f t="shared" si="2"/>
        <v>0</v>
      </c>
      <c r="K18" s="12">
        <v>24</v>
      </c>
      <c r="L18" s="11"/>
      <c r="M18" s="7">
        <f t="shared" si="3"/>
        <v>0</v>
      </c>
      <c r="V18" s="54" t="s">
        <v>46</v>
      </c>
    </row>
    <row r="19" spans="1:23" x14ac:dyDescent="0.25">
      <c r="A19" t="s">
        <v>5</v>
      </c>
      <c r="B19" s="33">
        <f>3.79/59</f>
        <v>6.4237288135593221E-2</v>
      </c>
      <c r="C19" s="27">
        <f t="shared" si="0"/>
        <v>0</v>
      </c>
      <c r="D19" s="12">
        <v>20</v>
      </c>
      <c r="E19" s="11"/>
      <c r="F19" s="7">
        <f t="shared" si="1"/>
        <v>0</v>
      </c>
      <c r="H19" t="s">
        <v>16</v>
      </c>
      <c r="I19" s="24">
        <f>11.59/48</f>
        <v>0.24145833333333333</v>
      </c>
      <c r="J19" s="27">
        <f t="shared" si="2"/>
        <v>0</v>
      </c>
      <c r="K19" s="12">
        <f>39/12*8</f>
        <v>26</v>
      </c>
      <c r="L19" s="11"/>
      <c r="M19" s="7">
        <f t="shared" si="3"/>
        <v>0</v>
      </c>
      <c r="V19" s="22" t="s">
        <v>56</v>
      </c>
    </row>
    <row r="20" spans="1:23" x14ac:dyDescent="0.25">
      <c r="A20" t="s">
        <v>4</v>
      </c>
      <c r="B20" s="33">
        <f>3.79/59</f>
        <v>6.4237288135593221E-2</v>
      </c>
      <c r="C20" s="27">
        <f t="shared" si="0"/>
        <v>4.8177966101694919E-2</v>
      </c>
      <c r="D20" s="12">
        <v>22</v>
      </c>
      <c r="E20" s="11">
        <v>6</v>
      </c>
      <c r="F20" s="7">
        <f t="shared" si="1"/>
        <v>16.5</v>
      </c>
      <c r="H20" t="s">
        <v>59</v>
      </c>
      <c r="I20" s="24">
        <f>2.19/67.6*8</f>
        <v>0.25917159763313613</v>
      </c>
      <c r="J20" s="27">
        <f t="shared" si="2"/>
        <v>0</v>
      </c>
      <c r="K20" s="12">
        <v>0</v>
      </c>
      <c r="L20" s="11"/>
      <c r="M20" s="7">
        <f t="shared" si="3"/>
        <v>0</v>
      </c>
      <c r="U20" s="18" t="s">
        <v>47</v>
      </c>
      <c r="V20" s="1">
        <v>4</v>
      </c>
    </row>
    <row r="21" spans="1:23" x14ac:dyDescent="0.25">
      <c r="A21" t="s">
        <v>63</v>
      </c>
      <c r="B21" s="33">
        <f>3.49/46</f>
        <v>7.5869565217391313E-2</v>
      </c>
      <c r="C21" s="27">
        <f t="shared" si="0"/>
        <v>5.6902173913043488E-2</v>
      </c>
      <c r="D21" s="12">
        <v>22</v>
      </c>
      <c r="E21" s="11">
        <v>6</v>
      </c>
      <c r="F21" s="7">
        <f t="shared" si="1"/>
        <v>16.5</v>
      </c>
      <c r="H21" t="s">
        <v>8</v>
      </c>
      <c r="I21" s="24">
        <f>2.19/67.6*8</f>
        <v>0.25917159763313613</v>
      </c>
      <c r="J21" s="27">
        <f t="shared" si="2"/>
        <v>0</v>
      </c>
      <c r="K21" s="12">
        <v>27</v>
      </c>
      <c r="L21" s="11"/>
      <c r="M21" s="7">
        <f t="shared" si="3"/>
        <v>0</v>
      </c>
      <c r="U21" s="18" t="s">
        <v>48</v>
      </c>
      <c r="V21" s="1">
        <v>4</v>
      </c>
    </row>
    <row r="22" spans="1:23" x14ac:dyDescent="0.25">
      <c r="A22" t="s">
        <v>62</v>
      </c>
      <c r="B22" s="33">
        <f>3.49/128</f>
        <v>2.7265625000000002E-2</v>
      </c>
      <c r="C22" s="27">
        <f t="shared" si="0"/>
        <v>0</v>
      </c>
      <c r="D22" s="12">
        <v>23</v>
      </c>
      <c r="E22" s="11"/>
      <c r="F22" s="7">
        <f t="shared" si="1"/>
        <v>0</v>
      </c>
      <c r="H22" t="s">
        <v>61</v>
      </c>
      <c r="I22" s="24">
        <f>2.19/67.6*8</f>
        <v>0.25917159763313613</v>
      </c>
      <c r="J22" s="27">
        <f t="shared" si="2"/>
        <v>0</v>
      </c>
      <c r="K22" s="12">
        <v>29</v>
      </c>
      <c r="L22" s="11"/>
      <c r="M22" s="7">
        <f t="shared" si="3"/>
        <v>0</v>
      </c>
      <c r="U22" s="18" t="s">
        <v>49</v>
      </c>
      <c r="V22" s="1">
        <v>9</v>
      </c>
    </row>
    <row r="23" spans="1:23" x14ac:dyDescent="0.25">
      <c r="A23" t="s">
        <v>18</v>
      </c>
      <c r="B23" s="33">
        <f>2.99/64</f>
        <v>4.6718750000000003E-2</v>
      </c>
      <c r="C23" s="27">
        <f t="shared" si="0"/>
        <v>0</v>
      </c>
      <c r="D23" s="26">
        <v>24</v>
      </c>
      <c r="E23" s="11"/>
      <c r="F23" s="7">
        <f t="shared" si="1"/>
        <v>0</v>
      </c>
      <c r="H23" t="s">
        <v>58</v>
      </c>
      <c r="I23" s="24">
        <f>2.29/67.6*8</f>
        <v>0.27100591715976335</v>
      </c>
      <c r="J23" s="27">
        <f t="shared" si="2"/>
        <v>0</v>
      </c>
      <c r="K23" s="12">
        <v>0</v>
      </c>
      <c r="L23" s="11"/>
      <c r="M23" s="7">
        <f t="shared" si="3"/>
        <v>0</v>
      </c>
      <c r="U23" s="18" t="s">
        <v>51</v>
      </c>
      <c r="V23" s="1">
        <v>4</v>
      </c>
    </row>
    <row r="24" spans="1:23" x14ac:dyDescent="0.25">
      <c r="A24" t="s">
        <v>15</v>
      </c>
      <c r="B24" s="33">
        <f>1.99/67.6*8</f>
        <v>0.23550295857988168</v>
      </c>
      <c r="C24" s="27">
        <f t="shared" si="0"/>
        <v>0</v>
      </c>
      <c r="D24" s="12">
        <v>24</v>
      </c>
      <c r="E24" s="11"/>
      <c r="F24" s="7">
        <f t="shared" si="1"/>
        <v>0</v>
      </c>
      <c r="G24" s="1"/>
      <c r="H24" t="s">
        <v>7</v>
      </c>
      <c r="I24" s="24">
        <f>2.29/67.6*8</f>
        <v>0.27100591715976335</v>
      </c>
      <c r="J24" s="27">
        <f t="shared" si="2"/>
        <v>0</v>
      </c>
      <c r="K24" s="12">
        <v>26</v>
      </c>
      <c r="L24" s="11"/>
      <c r="M24" s="7">
        <f t="shared" si="3"/>
        <v>0</v>
      </c>
      <c r="U24" s="18" t="s">
        <v>52</v>
      </c>
      <c r="V24" s="1">
        <v>7</v>
      </c>
    </row>
    <row r="25" spans="1:23" x14ac:dyDescent="0.25">
      <c r="A25" t="s">
        <v>16</v>
      </c>
      <c r="B25" s="33">
        <f>11.59/48</f>
        <v>0.24145833333333333</v>
      </c>
      <c r="C25" s="27">
        <f t="shared" si="0"/>
        <v>0</v>
      </c>
      <c r="D25" s="12">
        <f>39/12*8</f>
        <v>26</v>
      </c>
      <c r="E25" s="11"/>
      <c r="F25" s="7">
        <f t="shared" si="1"/>
        <v>0</v>
      </c>
      <c r="G25" s="1"/>
      <c r="H25" t="s">
        <v>9</v>
      </c>
      <c r="I25" s="24">
        <f>2/59*8</f>
        <v>0.2711864406779661</v>
      </c>
      <c r="J25" s="27">
        <f t="shared" si="2"/>
        <v>0</v>
      </c>
      <c r="K25" s="26">
        <v>27</v>
      </c>
      <c r="L25" s="11"/>
      <c r="M25" s="7">
        <f t="shared" si="3"/>
        <v>0</v>
      </c>
      <c r="U25" s="18" t="s">
        <v>12</v>
      </c>
      <c r="V25" s="1">
        <v>0</v>
      </c>
    </row>
    <row r="26" spans="1:23" x14ac:dyDescent="0.25">
      <c r="A26" t="s">
        <v>7</v>
      </c>
      <c r="B26" s="33">
        <f>2.29/67.6*8</f>
        <v>0.27100591715976335</v>
      </c>
      <c r="C26" s="27">
        <f t="shared" si="0"/>
        <v>0</v>
      </c>
      <c r="D26" s="12">
        <v>26</v>
      </c>
      <c r="E26" s="11"/>
      <c r="F26" s="7">
        <f t="shared" si="1"/>
        <v>0</v>
      </c>
      <c r="H26" t="s">
        <v>64</v>
      </c>
      <c r="I26" s="24">
        <f>2/46*8</f>
        <v>0.34782608695652173</v>
      </c>
      <c r="J26" s="27">
        <f t="shared" si="2"/>
        <v>0</v>
      </c>
      <c r="K26" s="12">
        <v>0</v>
      </c>
      <c r="L26" s="11"/>
      <c r="M26" s="7">
        <f t="shared" si="3"/>
        <v>0</v>
      </c>
      <c r="U26" s="18" t="s">
        <v>50</v>
      </c>
      <c r="V26" s="1">
        <v>1.5</v>
      </c>
    </row>
    <row r="27" spans="1:23" x14ac:dyDescent="0.25">
      <c r="A27" t="s">
        <v>9</v>
      </c>
      <c r="B27" s="33">
        <f>2/59*8</f>
        <v>0.2711864406779661</v>
      </c>
      <c r="C27" s="27">
        <f t="shared" si="0"/>
        <v>0</v>
      </c>
      <c r="D27" s="26">
        <v>27</v>
      </c>
      <c r="E27" s="11"/>
      <c r="F27" s="7">
        <f t="shared" si="1"/>
        <v>0</v>
      </c>
      <c r="H27" t="s">
        <v>6</v>
      </c>
      <c r="I27" s="24">
        <f>5/40*6</f>
        <v>0.75</v>
      </c>
      <c r="J27" s="27">
        <f t="shared" si="2"/>
        <v>0</v>
      </c>
      <c r="K27" s="12">
        <v>0.1</v>
      </c>
      <c r="L27" s="11"/>
      <c r="M27" s="7">
        <f t="shared" si="3"/>
        <v>0</v>
      </c>
    </row>
    <row r="28" spans="1:23" x14ac:dyDescent="0.25">
      <c r="A28" t="s">
        <v>8</v>
      </c>
      <c r="B28" s="33">
        <f>2.19/67.6*8</f>
        <v>0.25917159763313613</v>
      </c>
      <c r="C28" s="27">
        <f t="shared" si="0"/>
        <v>0</v>
      </c>
      <c r="D28" s="12">
        <v>27</v>
      </c>
      <c r="E28" s="11"/>
      <c r="F28" s="7">
        <f t="shared" si="1"/>
        <v>0</v>
      </c>
      <c r="H28" t="s">
        <v>19</v>
      </c>
      <c r="I28" s="24">
        <f>1.59/16*8</f>
        <v>0.79500000000000004</v>
      </c>
      <c r="J28" s="27">
        <f t="shared" si="2"/>
        <v>0</v>
      </c>
      <c r="K28" s="12">
        <v>12</v>
      </c>
      <c r="L28" s="11"/>
      <c r="M28" s="7">
        <f t="shared" si="3"/>
        <v>0</v>
      </c>
      <c r="V28" s="6" t="s">
        <v>54</v>
      </c>
    </row>
    <row r="29" spans="1:23" x14ac:dyDescent="0.25">
      <c r="A29" t="s">
        <v>61</v>
      </c>
      <c r="B29" s="33">
        <f>2.19/67.6*8</f>
        <v>0.25917159763313613</v>
      </c>
      <c r="C29" s="27">
        <f t="shared" si="0"/>
        <v>0</v>
      </c>
      <c r="D29" s="12">
        <v>29</v>
      </c>
      <c r="E29" s="11"/>
      <c r="F29" s="7">
        <f t="shared" si="1"/>
        <v>0</v>
      </c>
      <c r="H29" t="s">
        <v>17</v>
      </c>
      <c r="I29" s="24">
        <f>6/32*8</f>
        <v>1.5</v>
      </c>
      <c r="J29" s="27">
        <f t="shared" si="2"/>
        <v>0</v>
      </c>
      <c r="K29" s="12">
        <v>2</v>
      </c>
      <c r="L29" s="11"/>
      <c r="M29" s="7">
        <f t="shared" si="3"/>
        <v>0</v>
      </c>
      <c r="V29" s="22" t="s">
        <v>57</v>
      </c>
    </row>
    <row r="30" spans="1:23" x14ac:dyDescent="0.25">
      <c r="A30" s="2" t="s">
        <v>76</v>
      </c>
      <c r="B30" s="35">
        <f>AVERAGE(B4:B29)</f>
        <v>0.2632542134187083</v>
      </c>
      <c r="C30" s="35">
        <f>SUM(C4:C29)</f>
        <v>0.68423648760678313</v>
      </c>
      <c r="D30" s="36">
        <f>AVERAGE(D4:D29)</f>
        <v>12.811538461538463</v>
      </c>
      <c r="E30" s="37">
        <f>SUM(E4:E29)</f>
        <v>58</v>
      </c>
      <c r="F30" s="36">
        <f>SUM(F4:F29)</f>
        <v>76</v>
      </c>
      <c r="I30" s="35">
        <f>AVERAGE(I4:I29)</f>
        <v>0.26312383532222855</v>
      </c>
      <c r="J30" s="35">
        <f>SUM(J4:J29)</f>
        <v>0.68423648760678324</v>
      </c>
      <c r="K30" s="36">
        <f>AVERAGE(K4:K29)</f>
        <v>12.811538461538463</v>
      </c>
      <c r="L30" s="37">
        <f>SUM(L4:L29)</f>
        <v>58</v>
      </c>
      <c r="M30" s="36">
        <f>SUM(M4:M29)</f>
        <v>76</v>
      </c>
      <c r="U30" s="18" t="s">
        <v>67</v>
      </c>
      <c r="V30" s="21">
        <f>5.79/130</f>
        <v>4.4538461538461541E-2</v>
      </c>
      <c r="W30" t="s">
        <v>72</v>
      </c>
    </row>
    <row r="31" spans="1:23" x14ac:dyDescent="0.25">
      <c r="A31" s="2"/>
      <c r="B31" s="20" t="s">
        <v>77</v>
      </c>
      <c r="C31" s="35">
        <f>C30/E30</f>
        <v>1.1797180820806606E-2</v>
      </c>
      <c r="E31" s="20" t="s">
        <v>78</v>
      </c>
      <c r="F31" s="36">
        <f>F30/(E30/8)</f>
        <v>10.482758620689655</v>
      </c>
      <c r="G31" s="1"/>
      <c r="I31" s="41"/>
      <c r="J31" s="41"/>
      <c r="K31" s="41"/>
      <c r="L31" s="41"/>
      <c r="M31" s="40"/>
      <c r="U31" s="18" t="s">
        <v>53</v>
      </c>
      <c r="V31" s="21">
        <f>2.59/100</f>
        <v>2.5899999999999999E-2</v>
      </c>
      <c r="W31" s="23" t="s">
        <v>73</v>
      </c>
    </row>
    <row r="32" spans="1:23" x14ac:dyDescent="0.25">
      <c r="A32" s="2"/>
      <c r="B32" s="20" t="s">
        <v>81</v>
      </c>
      <c r="C32" s="38">
        <f>1-C31/B30</f>
        <v>0.95518711488942787</v>
      </c>
      <c r="E32" s="20" t="s">
        <v>80</v>
      </c>
      <c r="F32" s="39">
        <f>F31/D30</f>
        <v>0.81822793196616928</v>
      </c>
      <c r="G32" s="1"/>
      <c r="I32" s="41"/>
      <c r="J32" s="41"/>
      <c r="K32" s="41"/>
      <c r="L32" s="41"/>
      <c r="M32" s="40"/>
      <c r="U32" s="18" t="s">
        <v>71</v>
      </c>
      <c r="V32" s="21">
        <f>6.29/60</f>
        <v>0.10483333333333333</v>
      </c>
      <c r="W32" s="31" t="s">
        <v>74</v>
      </c>
    </row>
    <row r="33" spans="1:25" x14ac:dyDescent="0.25">
      <c r="A33" s="2"/>
      <c r="B33" s="2"/>
      <c r="C33" s="2"/>
      <c r="G33" s="1"/>
      <c r="I33" s="41"/>
      <c r="J33" s="41"/>
      <c r="K33" s="41"/>
      <c r="L33" s="41"/>
      <c r="M33" s="16"/>
    </row>
    <row r="34" spans="1:25" ht="18.75" x14ac:dyDescent="0.3">
      <c r="A34" s="2"/>
      <c r="B34" s="2"/>
      <c r="C34" s="2"/>
      <c r="E34" s="6" t="s">
        <v>94</v>
      </c>
      <c r="I34" s="41"/>
      <c r="J34" s="41"/>
      <c r="K34" s="41"/>
      <c r="L34" s="42"/>
      <c r="M34" s="41"/>
      <c r="O34" s="16"/>
      <c r="V34" s="53" t="s">
        <v>83</v>
      </c>
      <c r="X34" s="2"/>
    </row>
    <row r="35" spans="1:25" x14ac:dyDescent="0.25">
      <c r="C35" s="6" t="s">
        <v>91</v>
      </c>
      <c r="D35" s="6" t="s">
        <v>92</v>
      </c>
      <c r="E35" s="6" t="s">
        <v>93</v>
      </c>
      <c r="F35" s="6" t="s">
        <v>96</v>
      </c>
      <c r="G35" s="6" t="s">
        <v>95</v>
      </c>
      <c r="I35" s="41"/>
      <c r="J35" s="41"/>
      <c r="K35" s="41"/>
      <c r="L35" s="40"/>
      <c r="M35" s="41"/>
      <c r="U35" s="18" t="s">
        <v>84</v>
      </c>
      <c r="V35" s="11">
        <v>150</v>
      </c>
      <c r="X35" s="1"/>
      <c r="Y35" s="1"/>
    </row>
    <row r="36" spans="1:25" x14ac:dyDescent="0.25">
      <c r="A36" s="2" t="s">
        <v>20</v>
      </c>
      <c r="B36" s="2"/>
      <c r="C36" s="7">
        <v>124</v>
      </c>
      <c r="D36" s="15">
        <f>C36/8</f>
        <v>15.5</v>
      </c>
      <c r="E36" s="14">
        <f>C36/32</f>
        <v>3.875</v>
      </c>
      <c r="F36" s="9">
        <f>E30/C36</f>
        <v>0.46774193548387094</v>
      </c>
      <c r="G36" s="7" t="str">
        <f>IF(F36&lt;0.9, "Low",IF(F36&gt;1.1,"High", "OK"))</f>
        <v>Low</v>
      </c>
      <c r="I36" s="41"/>
      <c r="J36" s="41"/>
      <c r="K36" s="41"/>
      <c r="L36" s="41"/>
      <c r="M36" s="42"/>
      <c r="U36" s="18" t="s">
        <v>85</v>
      </c>
      <c r="V36" s="7">
        <f>V38*V35</f>
        <v>90</v>
      </c>
    </row>
    <row r="37" spans="1:25" x14ac:dyDescent="0.25">
      <c r="A37" s="2" t="s">
        <v>21</v>
      </c>
      <c r="B37" s="2"/>
      <c r="C37" s="15">
        <f>0.73*C36</f>
        <v>90.52</v>
      </c>
      <c r="D37" s="15">
        <f t="shared" ref="D37:D39" si="6">C37/8</f>
        <v>11.315</v>
      </c>
      <c r="E37" s="14">
        <f t="shared" ref="E37:E39" si="7">C37/32</f>
        <v>2.8287499999999999</v>
      </c>
      <c r="F37" s="9">
        <f>E30/C37</f>
        <v>0.64074237737516571</v>
      </c>
      <c r="G37" s="7" t="str">
        <f t="shared" ref="G37:G39" si="8">IF(F37&lt;0.9, "Low",IF(F37&gt;1.1,"High", "OK"))</f>
        <v>Low</v>
      </c>
      <c r="I37" s="41"/>
      <c r="J37" s="41"/>
      <c r="K37" s="41"/>
      <c r="L37" s="41"/>
      <c r="M37" s="42"/>
      <c r="U37" s="1" t="s">
        <v>97</v>
      </c>
      <c r="V37" s="15">
        <f>V36/8</f>
        <v>11.25</v>
      </c>
    </row>
    <row r="38" spans="1:25" x14ac:dyDescent="0.25">
      <c r="A38" s="2" t="s">
        <v>23</v>
      </c>
      <c r="B38" s="2"/>
      <c r="C38" s="7">
        <v>77</v>
      </c>
      <c r="D38" s="15">
        <f t="shared" si="6"/>
        <v>9.625</v>
      </c>
      <c r="E38" s="14">
        <f t="shared" si="7"/>
        <v>2.40625</v>
      </c>
      <c r="F38" s="10">
        <f>F30/C38</f>
        <v>0.98701298701298701</v>
      </c>
      <c r="G38" s="7" t="str">
        <f t="shared" si="8"/>
        <v>OK</v>
      </c>
      <c r="U38" s="18" t="s">
        <v>114</v>
      </c>
      <c r="V38" s="9">
        <v>0.6</v>
      </c>
    </row>
    <row r="39" spans="1:25" x14ac:dyDescent="0.25">
      <c r="A39" s="2" t="s">
        <v>22</v>
      </c>
      <c r="B39" s="2"/>
      <c r="C39" s="7">
        <v>50</v>
      </c>
      <c r="D39" s="15">
        <f t="shared" si="6"/>
        <v>6.25</v>
      </c>
      <c r="E39" s="14">
        <f t="shared" si="7"/>
        <v>1.5625</v>
      </c>
      <c r="F39" s="10">
        <f>F30/C39</f>
        <v>1.52</v>
      </c>
      <c r="G39" s="7" t="str">
        <f t="shared" si="8"/>
        <v>High</v>
      </c>
      <c r="U39" s="18" t="s">
        <v>115</v>
      </c>
      <c r="V39" s="14">
        <f>5.5/4</f>
        <v>1.375</v>
      </c>
    </row>
    <row r="40" spans="1:25" x14ac:dyDescent="0.25">
      <c r="U40" s="18" t="s">
        <v>116</v>
      </c>
      <c r="V40" s="10">
        <f>V39/V37</f>
        <v>0.12222222222222222</v>
      </c>
    </row>
    <row r="41" spans="1:25" x14ac:dyDescent="0.25">
      <c r="D41" s="6" t="s">
        <v>102</v>
      </c>
      <c r="U41" s="46" t="s">
        <v>107</v>
      </c>
      <c r="V41" s="9">
        <f>V48/V36</f>
        <v>0.47999999999999993</v>
      </c>
      <c r="W41" s="9">
        <f>W48/V36</f>
        <v>0.36</v>
      </c>
      <c r="X41" s="50" t="s">
        <v>108</v>
      </c>
    </row>
    <row r="42" spans="1:25" x14ac:dyDescent="0.25">
      <c r="C42" s="43" t="s">
        <v>88</v>
      </c>
      <c r="D42" s="22" t="s">
        <v>89</v>
      </c>
      <c r="E42" s="44" t="s">
        <v>90</v>
      </c>
      <c r="U42" s="46" t="s">
        <v>86</v>
      </c>
      <c r="V42" s="14">
        <f>C36/16</f>
        <v>7.75</v>
      </c>
      <c r="W42" s="14">
        <f>C37/16</f>
        <v>5.6574999999999998</v>
      </c>
      <c r="X42" s="50" t="s">
        <v>87</v>
      </c>
    </row>
    <row r="43" spans="1:25" x14ac:dyDescent="0.25">
      <c r="C43" s="11">
        <v>160</v>
      </c>
      <c r="D43" s="11">
        <v>1</v>
      </c>
      <c r="E43" s="45">
        <f>C43*11+D43*290</f>
        <v>2050</v>
      </c>
      <c r="U43" s="46" t="s">
        <v>98</v>
      </c>
      <c r="V43" s="14">
        <f>V42/8</f>
        <v>0.96875</v>
      </c>
      <c r="W43" s="14">
        <f>W42/8</f>
        <v>0.70718749999999997</v>
      </c>
      <c r="X43" s="50" t="s">
        <v>99</v>
      </c>
    </row>
    <row r="44" spans="1:25" x14ac:dyDescent="0.25">
      <c r="C44" s="1"/>
      <c r="D44" s="7" t="str">
        <f>IF(D43=1,"Sedentary",IF(D43=2,"Light",IF(D43=3,"Moderate",IF(D43=4,"Very High",IF(D43=5,"Extreme",)))))</f>
        <v>Sedentary</v>
      </c>
      <c r="U44" s="46" t="s">
        <v>100</v>
      </c>
      <c r="V44" s="15">
        <f>$D$30/8*128*V43</f>
        <v>198.57884615384617</v>
      </c>
      <c r="W44" s="15">
        <f>$D$30/8*128*W43</f>
        <v>144.96255769230771</v>
      </c>
      <c r="X44" s="50" t="s">
        <v>100</v>
      </c>
    </row>
    <row r="45" spans="1:25" x14ac:dyDescent="0.25">
      <c r="U45" s="46" t="s">
        <v>101</v>
      </c>
      <c r="V45" s="27">
        <f>$B$30/8*128*V43</f>
        <v>4.0804403079899787</v>
      </c>
      <c r="W45" s="27">
        <f>$B$30/8*128*W43</f>
        <v>2.9787214248326843</v>
      </c>
      <c r="X45" s="50" t="s">
        <v>101</v>
      </c>
    </row>
    <row r="46" spans="1:25" x14ac:dyDescent="0.25">
      <c r="U46" s="46" t="s">
        <v>109</v>
      </c>
      <c r="V46" s="9">
        <f>V42/V36</f>
        <v>8.611111111111111E-2</v>
      </c>
      <c r="W46" s="9">
        <f>W42/V36</f>
        <v>6.2861111111111104E-2</v>
      </c>
      <c r="X46" s="50" t="s">
        <v>110</v>
      </c>
    </row>
    <row r="47" spans="1:25" x14ac:dyDescent="0.25">
      <c r="U47" s="46" t="s">
        <v>111</v>
      </c>
      <c r="V47" s="15">
        <f>40%*V35</f>
        <v>60</v>
      </c>
      <c r="W47" s="7">
        <f>30%*V35</f>
        <v>45</v>
      </c>
      <c r="X47" s="50" t="s">
        <v>106</v>
      </c>
    </row>
    <row r="48" spans="1:25" x14ac:dyDescent="0.25">
      <c r="U48" s="46" t="s">
        <v>112</v>
      </c>
      <c r="V48" s="15">
        <f>0.72*V47</f>
        <v>43.199999999999996</v>
      </c>
      <c r="W48" s="15">
        <f>0.72*W47</f>
        <v>32.4</v>
      </c>
      <c r="X48" s="50" t="s">
        <v>113</v>
      </c>
    </row>
    <row r="49" spans="22:22" x14ac:dyDescent="0.25">
      <c r="V49" s="51" t="s">
        <v>117</v>
      </c>
    </row>
  </sheetData>
  <sortState ref="H4:M29">
    <sortCondition ref="I4:I29"/>
  </sortState>
  <pageMargins left="0.7" right="0.7" top="0.75" bottom="0.75" header="0.3" footer="0.3"/>
  <pageSetup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wcpges</dc:creator>
  <cp:lastModifiedBy>William Patterson</cp:lastModifiedBy>
  <dcterms:created xsi:type="dcterms:W3CDTF">2017-02-03T03:01:24Z</dcterms:created>
  <dcterms:modified xsi:type="dcterms:W3CDTF">2018-07-15T13:31:45Z</dcterms:modified>
</cp:coreProperties>
</file>