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PGE\Documents\Intercomputer 2018F12\Research - WCP\River Power\"/>
    </mc:Choice>
  </mc:AlternateContent>
  <xr:revisionPtr revIDLastSave="0" documentId="13_ncr:1_{72F1110C-F513-4F40-963D-73B347A894C5}" xr6:coauthVersionLast="43" xr6:coauthVersionMax="43" xr10:uidLastSave="{00000000-0000-0000-0000-000000000000}"/>
  <bookViews>
    <workbookView xWindow="-120" yWindow="-120" windowWidth="29040" windowHeight="15840" xr2:uid="{EE5F632D-2BB4-4CE5-B6EE-5E9D8E190387}"/>
  </bookViews>
  <sheets>
    <sheet name="Sheet1" sheetId="1" r:id="rId1"/>
  </sheets>
  <definedNames>
    <definedName name="_xlcn.WorksheetConnection_Sheet1P27R30" hidden="1">Sheet1!$P$27:$V$30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P$27:$R$3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1" l="1"/>
  <c r="D70" i="1" l="1"/>
  <c r="E70" i="1"/>
  <c r="K62" i="1"/>
  <c r="K58" i="1"/>
  <c r="F70" i="1"/>
  <c r="J62" i="1"/>
  <c r="I62" i="1"/>
  <c r="I58" i="1"/>
  <c r="G70" i="1" l="1"/>
  <c r="G44" i="1"/>
  <c r="G48" i="1"/>
  <c r="H48" i="1" s="1"/>
  <c r="F48" i="1"/>
  <c r="D62" i="1"/>
  <c r="F62" i="1" s="1"/>
  <c r="G62" i="1" s="1"/>
  <c r="B66" i="1" s="1"/>
  <c r="C66" i="1" s="1"/>
  <c r="E66" i="1" s="1"/>
  <c r="F58" i="1"/>
  <c r="T10" i="1"/>
  <c r="U10" i="1" s="1"/>
  <c r="S11" i="1"/>
  <c r="R11" i="1"/>
  <c r="D48" i="1" l="1"/>
  <c r="J48" i="1" s="1"/>
  <c r="D44" i="1"/>
  <c r="E48" i="1"/>
  <c r="B28" i="1"/>
  <c r="B29" i="1" s="1"/>
  <c r="C30" i="1" s="1"/>
  <c r="C31" i="1" s="1"/>
  <c r="B27" i="1"/>
  <c r="I48" i="1" l="1"/>
  <c r="K48" i="1" s="1"/>
  <c r="Q38" i="1"/>
  <c r="Q37" i="1"/>
  <c r="T9" i="1"/>
  <c r="U9" i="1" s="1"/>
  <c r="T7" i="1"/>
  <c r="T8" i="1"/>
  <c r="U8" i="1" s="1"/>
  <c r="U7" i="1" l="1"/>
  <c r="T11" i="1"/>
  <c r="V32" i="1"/>
  <c r="V30" i="1"/>
  <c r="V29" i="1"/>
  <c r="X32" i="1"/>
  <c r="Y32" i="1" s="1"/>
  <c r="Z32" i="1" s="1"/>
  <c r="AA32" i="1" s="1"/>
  <c r="AB32" i="1" s="1"/>
  <c r="X29" i="1"/>
  <c r="Y29" i="1" s="1"/>
  <c r="V24" i="1"/>
  <c r="X24" i="1" s="1"/>
  <c r="Y24" i="1" s="1"/>
  <c r="Z24" i="1" s="1"/>
  <c r="AA24" i="1" s="1"/>
  <c r="AB24" i="1" s="1"/>
  <c r="W41" i="1" s="1"/>
  <c r="X7" i="1"/>
  <c r="Y7" i="1"/>
  <c r="C22" i="1"/>
  <c r="AR16" i="1"/>
  <c r="AR15" i="1"/>
  <c r="V17" i="1"/>
  <c r="W17" i="1" s="1"/>
  <c r="V15" i="1"/>
  <c r="V22" i="1" s="1"/>
  <c r="X22" i="1" s="1"/>
  <c r="V14" i="1"/>
  <c r="V21" i="1" s="1"/>
  <c r="AP7" i="1"/>
  <c r="W10" i="1"/>
  <c r="W8" i="1"/>
  <c r="W7" i="1"/>
  <c r="X10" i="1"/>
  <c r="Y10" i="1" s="1"/>
  <c r="Z10" i="1" s="1"/>
  <c r="AA10" i="1" s="1"/>
  <c r="AB10" i="1" s="1"/>
  <c r="X8" i="1"/>
  <c r="Y8" i="1" s="1"/>
  <c r="Z8" i="1" s="1"/>
  <c r="AA8" i="1" s="1"/>
  <c r="AB8" i="1" s="1"/>
  <c r="AL10" i="1"/>
  <c r="AR17" i="1" s="1"/>
  <c r="AL7" i="1"/>
  <c r="AR14" i="1" s="1"/>
  <c r="AL8" i="1"/>
  <c r="AL9" i="1"/>
  <c r="W21" i="1" l="1"/>
  <c r="X21" i="1"/>
  <c r="W39" i="1"/>
  <c r="AD10" i="1"/>
  <c r="AC10" i="1"/>
  <c r="AC8" i="1"/>
  <c r="AD8" i="1"/>
  <c r="X14" i="1"/>
  <c r="X15" i="1"/>
  <c r="Y15" i="1" s="1"/>
  <c r="Z15" i="1" s="1"/>
  <c r="AA15" i="1" s="1"/>
  <c r="AB15" i="1" s="1"/>
  <c r="AC15" i="1" s="1"/>
  <c r="W14" i="1"/>
  <c r="X17" i="1"/>
  <c r="Y17" i="1" s="1"/>
  <c r="Z17" i="1" s="1"/>
  <c r="AA17" i="1" s="1"/>
  <c r="AB17" i="1" s="1"/>
  <c r="W40" i="1" s="1"/>
  <c r="U11" i="1"/>
  <c r="W32" i="1"/>
  <c r="AC24" i="1"/>
  <c r="AD24" i="1"/>
  <c r="Y22" i="1"/>
  <c r="Z22" i="1" s="1"/>
  <c r="AA22" i="1" s="1"/>
  <c r="AB22" i="1" s="1"/>
  <c r="X23" i="1"/>
  <c r="Y23" i="1" s="1"/>
  <c r="Z23" i="1" s="1"/>
  <c r="AA23" i="1" s="1"/>
  <c r="AB23" i="1" s="1"/>
  <c r="W24" i="1"/>
  <c r="W22" i="1"/>
  <c r="AC32" i="1"/>
  <c r="W42" i="1" s="1"/>
  <c r="AD32" i="1"/>
  <c r="X41" i="1"/>
  <c r="W30" i="1"/>
  <c r="X30" i="1"/>
  <c r="Y30" i="1" s="1"/>
  <c r="Z30" i="1" s="1"/>
  <c r="AA30" i="1" s="1"/>
  <c r="AB30" i="1" s="1"/>
  <c r="X9" i="1"/>
  <c r="X11" i="1" s="1"/>
  <c r="W15" i="1"/>
  <c r="Z7" i="1"/>
  <c r="W29" i="1"/>
  <c r="Z29" i="1"/>
  <c r="X16" i="1"/>
  <c r="Y16" i="1" s="1"/>
  <c r="Z16" i="1" s="1"/>
  <c r="AA16" i="1" s="1"/>
  <c r="AB16" i="1" s="1"/>
  <c r="AP10" i="1"/>
  <c r="AQ10" i="1" s="1"/>
  <c r="AR10" i="1" s="1"/>
  <c r="AS10" i="1" s="1"/>
  <c r="AS17" i="1" s="1"/>
  <c r="AP9" i="1"/>
  <c r="AQ9" i="1" s="1"/>
  <c r="AR9" i="1" s="1"/>
  <c r="AS9" i="1" s="1"/>
  <c r="AS16" i="1" s="1"/>
  <c r="AP8" i="1"/>
  <c r="AQ8" i="1" s="1"/>
  <c r="AR8" i="1" s="1"/>
  <c r="AS8" i="1" s="1"/>
  <c r="AQ7" i="1"/>
  <c r="AM10" i="1"/>
  <c r="AO10" i="1" s="1"/>
  <c r="AM7" i="1"/>
  <c r="AM8" i="1"/>
  <c r="AT8" i="1" l="1"/>
  <c r="AS15" i="1"/>
  <c r="AD15" i="1"/>
  <c r="Y14" i="1"/>
  <c r="Z14" i="1" s="1"/>
  <c r="AA14" i="1" s="1"/>
  <c r="X18" i="1"/>
  <c r="AD17" i="1"/>
  <c r="Y21" i="1"/>
  <c r="Z21" i="1" s="1"/>
  <c r="X25" i="1"/>
  <c r="AC17" i="1"/>
  <c r="AD30" i="1"/>
  <c r="AD16" i="1"/>
  <c r="AC16" i="1"/>
  <c r="AD22" i="1"/>
  <c r="AC22" i="1"/>
  <c r="AD23" i="1"/>
  <c r="AC23" i="1"/>
  <c r="AA21" i="1"/>
  <c r="Z25" i="1"/>
  <c r="Y25" i="1"/>
  <c r="AC30" i="1"/>
  <c r="AT10" i="1"/>
  <c r="AU10" i="1"/>
  <c r="AJ17" i="1"/>
  <c r="AA7" i="1"/>
  <c r="AB7" i="1" s="1"/>
  <c r="V9" i="1"/>
  <c r="Y9" i="1"/>
  <c r="AJ15" i="1"/>
  <c r="X31" i="1"/>
  <c r="AR7" i="1"/>
  <c r="AQ11" i="1"/>
  <c r="AP11" i="1"/>
  <c r="AA29" i="1"/>
  <c r="Z18" i="1"/>
  <c r="AT9" i="1"/>
  <c r="AU9" i="1"/>
  <c r="AJ16" i="1"/>
  <c r="AU8" i="1"/>
  <c r="AO9" i="1"/>
  <c r="V11" i="1" l="1"/>
  <c r="E62" i="1" s="1"/>
  <c r="H62" i="1" s="1"/>
  <c r="V31" i="1"/>
  <c r="Q36" i="1"/>
  <c r="AC7" i="1"/>
  <c r="AD7" i="1"/>
  <c r="Y18" i="1"/>
  <c r="Y31" i="1"/>
  <c r="Z31" i="1" s="1"/>
  <c r="AA31" i="1" s="1"/>
  <c r="AB31" i="1" s="1"/>
  <c r="X33" i="1"/>
  <c r="AA18" i="1"/>
  <c r="AB14" i="1"/>
  <c r="AB21" i="1"/>
  <c r="AA25" i="1"/>
  <c r="AB29" i="1"/>
  <c r="V16" i="1"/>
  <c r="V23" i="1" s="1"/>
  <c r="W23" i="1" s="1"/>
  <c r="W9" i="1"/>
  <c r="AS7" i="1"/>
  <c r="AS14" i="1" s="1"/>
  <c r="AS19" i="1" s="1"/>
  <c r="AR11" i="1"/>
  <c r="Z9" i="1"/>
  <c r="Y11" i="1"/>
  <c r="X40" i="1"/>
  <c r="C17" i="1"/>
  <c r="C18" i="1" s="1"/>
  <c r="C8" i="1"/>
  <c r="C6" i="1"/>
  <c r="Y33" i="1" l="1"/>
  <c r="AC31" i="1"/>
  <c r="AD31" i="1"/>
  <c r="AA33" i="1"/>
  <c r="Z33" i="1"/>
  <c r="AD14" i="1"/>
  <c r="AD18" i="1" s="1"/>
  <c r="AB18" i="1"/>
  <c r="AC14" i="1"/>
  <c r="AC18" i="1" s="1"/>
  <c r="AB25" i="1"/>
  <c r="AD21" i="1"/>
  <c r="AD25" i="1" s="1"/>
  <c r="AC21" i="1"/>
  <c r="AC25" i="1" s="1"/>
  <c r="AC29" i="1"/>
  <c r="AD29" i="1"/>
  <c r="AB33" i="1"/>
  <c r="X42" i="1"/>
  <c r="AU7" i="1"/>
  <c r="AJ14" i="1"/>
  <c r="AJ19" i="1" s="1"/>
  <c r="AS11" i="1"/>
  <c r="AT7" i="1"/>
  <c r="AA9" i="1"/>
  <c r="Z11" i="1"/>
  <c r="W16" i="1"/>
  <c r="W31" i="1"/>
  <c r="B25" i="1"/>
  <c r="AA11" i="1" l="1"/>
  <c r="AB9" i="1"/>
  <c r="AD33" i="1"/>
  <c r="AC33" i="1"/>
  <c r="AT11" i="1"/>
  <c r="AU11" i="1"/>
  <c r="AD9" i="1" l="1"/>
  <c r="AD11" i="1" s="1"/>
  <c r="AC9" i="1"/>
  <c r="AC11" i="1" s="1"/>
  <c r="Q35" i="1"/>
  <c r="AB11" i="1"/>
  <c r="C13" i="1"/>
  <c r="B9" i="1"/>
  <c r="B7" i="1"/>
  <c r="B14" i="1"/>
  <c r="AE8" i="1" l="1"/>
  <c r="AE10" i="1"/>
  <c r="AE32" i="1"/>
  <c r="AE24" i="1"/>
  <c r="AE15" i="1"/>
  <c r="AV8" i="1" s="1"/>
  <c r="AE22" i="1"/>
  <c r="AE17" i="1"/>
  <c r="AV10" i="1" s="1"/>
  <c r="AE16" i="1"/>
  <c r="AE30" i="1"/>
  <c r="AE23" i="1"/>
  <c r="AE7" i="1"/>
  <c r="AE31" i="1"/>
  <c r="AE14" i="1"/>
  <c r="AE29" i="1"/>
  <c r="AE33" i="1" s="1"/>
  <c r="AE21" i="1"/>
  <c r="AE25" i="1" s="1"/>
  <c r="AE9" i="1"/>
  <c r="C14" i="1"/>
  <c r="C15" i="1" s="1"/>
  <c r="B15" i="1"/>
  <c r="B19" i="1" s="1"/>
  <c r="B26" i="1"/>
  <c r="C26" i="1" s="1"/>
  <c r="C24" i="1"/>
  <c r="C23" i="1"/>
  <c r="AE18" i="1" l="1"/>
  <c r="AE11" i="1"/>
  <c r="AV7" i="1"/>
  <c r="AV11" i="1"/>
  <c r="AV9" i="1"/>
  <c r="C25" i="1"/>
  <c r="B34" i="1" l="1"/>
  <c r="B32" i="1"/>
  <c r="B3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4DA69C-C01A-4A5E-8D4E-BEE5A6B677A9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E29E633-2321-4DA3-AAE5-ED14CB3EC7B7}" name="WorksheetConnection_Sheet1!$P$27:$R$30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1P27R30"/>
        </x15:connection>
      </ext>
    </extLst>
  </connection>
</connections>
</file>

<file path=xl/sharedStrings.xml><?xml version="1.0" encoding="utf-8"?>
<sst xmlns="http://schemas.openxmlformats.org/spreadsheetml/2006/main" count="245" uniqueCount="151">
  <si>
    <t>William C. Patterson, Ph.D</t>
  </si>
  <si>
    <t>Home Characteristic</t>
  </si>
  <si>
    <t>US KWH/Yr</t>
  </si>
  <si>
    <t>Global KWH/Yr</t>
  </si>
  <si>
    <t>River Power Characteristic</t>
  </si>
  <si>
    <t>River Power HP</t>
  </si>
  <si>
    <t>River Power KW</t>
  </si>
  <si>
    <t>Annual KWH</t>
  </si>
  <si>
    <t>House Equivalents</t>
  </si>
  <si>
    <t>FPS</t>
  </si>
  <si>
    <t>Width (feet &amp; meters)</t>
  </si>
  <si>
    <t>Depth (feet &amp; meters)</t>
  </si>
  <si>
    <t>Current (feet/second &amp; meters/second)</t>
  </si>
  <si>
    <t>Current (mph &amp; km/hr)</t>
  </si>
  <si>
    <t>Current (feet per minute &amp; meters per minute)</t>
  </si>
  <si>
    <t>Electric Automobile Characteristic</t>
  </si>
  <si>
    <t>Average KWH/Yr</t>
  </si>
  <si>
    <t>Electric Car Equivalents</t>
  </si>
  <si>
    <t>MKS (SI)</t>
  </si>
  <si>
    <t>US Home Wattage</t>
  </si>
  <si>
    <t>Global Home Wattage</t>
  </si>
  <si>
    <t>Average WH/Mile</t>
  </si>
  <si>
    <t>Electricity Value</t>
  </si>
  <si>
    <t>Price of Gasoline</t>
  </si>
  <si>
    <t>Average Gasoline Economy (mpg)</t>
  </si>
  <si>
    <t>Gas Value</t>
  </si>
  <si>
    <t>Gal/Yr</t>
  </si>
  <si>
    <t>Gas Cost/Yr</t>
  </si>
  <si>
    <t>Gal/Mi</t>
  </si>
  <si>
    <t xml:space="preserve">    Gasoline Equivalencies</t>
  </si>
  <si>
    <t>AverageAuto Miles/Year</t>
  </si>
  <si>
    <t>Annual Cost Saved Via Electric Substitution for Petroleum</t>
  </si>
  <si>
    <t>Price of Residential Electrical Energy ($/KWH)</t>
  </si>
  <si>
    <t>Annual Value of Natural River Current (Horizontal Energy)</t>
  </si>
  <si>
    <t>Greater Pittsburgh River Power</t>
  </si>
  <si>
    <t>River</t>
  </si>
  <si>
    <t>Allegheny</t>
  </si>
  <si>
    <t>Monongahela</t>
  </si>
  <si>
    <t>Ohio</t>
  </si>
  <si>
    <t>Yougiogheny</t>
  </si>
  <si>
    <t>L mi</t>
  </si>
  <si>
    <t>W'</t>
  </si>
  <si>
    <t>D'</t>
  </si>
  <si>
    <t>KWH/Yr</t>
  </si>
  <si>
    <t>Houses</t>
  </si>
  <si>
    <t>Cars</t>
  </si>
  <si>
    <t>Electricity</t>
  </si>
  <si>
    <t>Value</t>
  </si>
  <si>
    <t>Powered</t>
  </si>
  <si>
    <t>Total</t>
  </si>
  <si>
    <t>fps</t>
  </si>
  <si>
    <t>cfs</t>
  </si>
  <si>
    <t>Tributary to Mon</t>
  </si>
  <si>
    <t>Tributary to Ohio</t>
  </si>
  <si>
    <t>Analysis</t>
  </si>
  <si>
    <t>Unaccounted</t>
  </si>
  <si>
    <t>Ft.Lb/s</t>
  </si>
  <si>
    <t>HP</t>
  </si>
  <si>
    <t>KW</t>
  </si>
  <si>
    <t>Detail</t>
  </si>
  <si>
    <t>Baseline</t>
  </si>
  <si>
    <t>River Power (KWH/Yr)</t>
  </si>
  <si>
    <t>Youghiogheny</t>
  </si>
  <si>
    <t>Mouth</t>
  </si>
  <si>
    <t>Pittsburgh</t>
  </si>
  <si>
    <t>McKeesport</t>
  </si>
  <si>
    <t>Cairo, IL</t>
  </si>
  <si>
    <t>Mouth W'</t>
  </si>
  <si>
    <t>Mouth D'</t>
  </si>
  <si>
    <t>Mouth cfs</t>
  </si>
  <si>
    <t>Implicit</t>
  </si>
  <si>
    <t>mph</t>
  </si>
  <si>
    <t>Cubic Feet of Water Per Second</t>
  </si>
  <si>
    <t>Ft.Lb/S</t>
  </si>
  <si>
    <t>&lt;&lt;Theoretical Potential</t>
  </si>
  <si>
    <t>Change Only Light Green Input Cells for Particular River &amp; Local Economy</t>
  </si>
  <si>
    <t>Dredge Rivers to 33' Depth (Double Depth)</t>
  </si>
  <si>
    <t>Widen River 100% (Double Width)</t>
  </si>
  <si>
    <t>Increase Current 100% (Double Current)</t>
  </si>
  <si>
    <t>Double Depth Effect</t>
  </si>
  <si>
    <t>Double Width Effect</t>
  </si>
  <si>
    <t>Double Current Effect</t>
  </si>
  <si>
    <t>Pittsburgh River Power Variable Analyses</t>
  </si>
  <si>
    <t>River Power River Mouth Discharge Analyses</t>
  </si>
  <si>
    <t>Drop'</t>
  </si>
  <si>
    <t>Slope</t>
  </si>
  <si>
    <t>Angle (Deg)</t>
  </si>
  <si>
    <t>Correlation (Drop vs Current)</t>
  </si>
  <si>
    <t>Correlation (W vs KWH)</t>
  </si>
  <si>
    <t>Correlation (fps vs KWH)</t>
  </si>
  <si>
    <t>Correlation (L vs W)</t>
  </si>
  <si>
    <t>Correlation (L vs Drop)</t>
  </si>
  <si>
    <t>Variable Relative Effect</t>
  </si>
  <si>
    <t>Silt Build-Up Shallows River Bed, Causes Flooding, Major Excavation to Relieve, Recycle Sediment to Farms</t>
  </si>
  <si>
    <t>Widening Infringes Riverbank Settlements, Major Excavation Expense</t>
  </si>
  <si>
    <t>Global Warming Likely to Increase Current, Prompt Flooding w/o Dredging</t>
  </si>
  <si>
    <t>Basin mi2</t>
  </si>
  <si>
    <t>Correlation (Basin vs KWH/Yr</t>
  </si>
  <si>
    <t>Narrow Channel to Increase Velocity &amp; Energy Harvest</t>
  </si>
  <si>
    <t>1/2 m v2 pcf</t>
  </si>
  <si>
    <t>X/S ft2</t>
  </si>
  <si>
    <t>XS Reduction</t>
  </si>
  <si>
    <t>KE Gain</t>
  </si>
  <si>
    <t>KE gain pcf</t>
  </si>
  <si>
    <t>% KE gain</t>
  </si>
  <si>
    <t>Initial River Characteristic</t>
  </si>
  <si>
    <t>Narrowed River Characteristic</t>
  </si>
  <si>
    <t>Converging Nozzle Phenomena</t>
  </si>
  <si>
    <t>Tapping a narrowed river channel for energy involves less plant &amp; equipment (less technology asset burden)</t>
  </si>
  <si>
    <t>Average</t>
  </si>
  <si>
    <t>Present D'</t>
  </si>
  <si>
    <t>Present W'</t>
  </si>
  <si>
    <t>Ft3 Femoved</t>
  </si>
  <si>
    <t>Yd3 Removed</t>
  </si>
  <si>
    <t>Present Angle</t>
  </si>
  <si>
    <t>Present Slope</t>
  </si>
  <si>
    <t>Present Current</t>
  </si>
  <si>
    <t>New Angle</t>
  </si>
  <si>
    <t>New Slope</t>
  </si>
  <si>
    <t>Added D'</t>
  </si>
  <si>
    <t>New D'</t>
  </si>
  <si>
    <t>Excavation L'</t>
  </si>
  <si>
    <t>Value As Topsoil</t>
  </si>
  <si>
    <t>New fps</t>
  </si>
  <si>
    <t>Deepen Riverbed Slope to Increase Velocity &amp; Energy Harvest, Avoid Flooding</t>
  </si>
  <si>
    <t>River Power Two</t>
  </si>
  <si>
    <t>Original Concept circa 1995</t>
  </si>
  <si>
    <t>River Channel Management Opportunities</t>
  </si>
  <si>
    <t>River Channel Management Initiative</t>
  </si>
  <si>
    <t>Topsoil Cost $/Yd3</t>
  </si>
  <si>
    <t>Present KWH/Yr</t>
  </si>
  <si>
    <t>Electricity $/KWH</t>
  </si>
  <si>
    <t>New E-Value</t>
  </si>
  <si>
    <t>Excavation Cost</t>
  </si>
  <si>
    <t>River Excavation $/Yd3</t>
  </si>
  <si>
    <t>Energy Offset</t>
  </si>
  <si>
    <t>Top Soil Offset</t>
  </si>
  <si>
    <t>Project Profit</t>
  </si>
  <si>
    <t>E-Value Increase/Yr</t>
  </si>
  <si>
    <t>Electricity Benefit/Yr</t>
  </si>
  <si>
    <t>Cost of Capital</t>
  </si>
  <si>
    <t>Present Value</t>
  </si>
  <si>
    <t>Sloped River Characteristic</t>
  </si>
  <si>
    <t>River Sediment Re-Valuation</t>
  </si>
  <si>
    <t>Project Value</t>
  </si>
  <si>
    <t>Improving the Energy Product of Natural Rivers</t>
  </si>
  <si>
    <t>All Values At Theoretical Potential</t>
  </si>
  <si>
    <t>Set-Up Cost</t>
  </si>
  <si>
    <t>Benefit/Cost Ratio</t>
  </si>
  <si>
    <t>Youghiogheny River Example</t>
  </si>
  <si>
    <t>River Power (KWH/Yr)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</si>
</sst>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164" formatCode="0.0"/>
    <numFmt numFmtId="165" formatCode="#,##0.0"/>
    <numFmt numFmtId="166" formatCode="0.000"/>
    <numFmt numFmtId="167" formatCode="#,##0.000"/>
    <numFmt numFmtId="168" formatCode="#,##0.00000"/>
    <numFmt numFmtId="169" formatCode="&quot;$&quot;#,##0.00"/>
    <numFmt numFmtId="170" formatCode="&quot;$&quot;#,##0"/>
    <numFmt numFmtId="171" formatCode="#,##0.0000"/>
    <numFmt numFmtId="172" formatCode="0.00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6" borderId="1" applyNumberFormat="0" applyFont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4" fillId="4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3" fontId="1" fillId="2" borderId="0" xfId="1" applyNumberFormat="1" applyAlignment="1">
      <alignment horizontal="center"/>
    </xf>
    <xf numFmtId="0" fontId="1" fillId="2" borderId="0" xfId="1" applyAlignment="1">
      <alignment horizontal="center"/>
    </xf>
    <xf numFmtId="3" fontId="2" fillId="3" borderId="0" xfId="2" applyNumberFormat="1" applyAlignment="1">
      <alignment horizontal="center"/>
    </xf>
    <xf numFmtId="0" fontId="2" fillId="3" borderId="0" xfId="2" applyAlignment="1">
      <alignment horizontal="center"/>
    </xf>
    <xf numFmtId="164" fontId="2" fillId="3" borderId="0" xfId="2" applyNumberFormat="1" applyAlignment="1">
      <alignment horizontal="center"/>
    </xf>
    <xf numFmtId="1" fontId="2" fillId="3" borderId="0" xfId="2" applyNumberFormat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2" fillId="3" borderId="0" xfId="2" applyNumberFormat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3" fontId="9" fillId="7" borderId="0" xfId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2" fillId="3" borderId="0" xfId="2" applyNumberFormat="1" applyAlignment="1">
      <alignment horizontal="center"/>
    </xf>
    <xf numFmtId="168" fontId="11" fillId="0" borderId="0" xfId="2" applyNumberFormat="1" applyFont="1" applyFill="1" applyAlignment="1">
      <alignment horizontal="center"/>
    </xf>
    <xf numFmtId="4" fontId="0" fillId="0" borderId="0" xfId="0" applyNumberFormat="1" applyAlignment="1">
      <alignment horizontal="left"/>
    </xf>
    <xf numFmtId="169" fontId="1" fillId="2" borderId="0" xfId="1" applyNumberFormat="1" applyAlignment="1">
      <alignment horizontal="center"/>
    </xf>
    <xf numFmtId="170" fontId="2" fillId="3" borderId="0" xfId="2" applyNumberFormat="1" applyAlignment="1">
      <alignment horizontal="center"/>
    </xf>
    <xf numFmtId="1" fontId="9" fillId="7" borderId="0" xfId="1" applyNumberFormat="1" applyFont="1" applyFill="1" applyAlignment="1">
      <alignment horizontal="center"/>
    </xf>
    <xf numFmtId="0" fontId="10" fillId="0" borderId="0" xfId="0" applyFont="1"/>
    <xf numFmtId="0" fontId="3" fillId="6" borderId="2" xfId="3" applyFont="1" applyBorder="1" applyAlignment="1">
      <alignment horizontal="left"/>
    </xf>
    <xf numFmtId="0" fontId="0" fillId="6" borderId="3" xfId="3" applyFont="1" applyBorder="1"/>
    <xf numFmtId="166" fontId="2" fillId="6" borderId="4" xfId="3" applyNumberFormat="1" applyFont="1" applyBorder="1" applyAlignment="1">
      <alignment horizontal="center"/>
    </xf>
    <xf numFmtId="0" fontId="0" fillId="6" borderId="5" xfId="3" applyFont="1" applyBorder="1"/>
    <xf numFmtId="1" fontId="2" fillId="6" borderId="4" xfId="3" applyNumberFormat="1" applyFont="1" applyBorder="1" applyAlignment="1">
      <alignment horizontal="center"/>
    </xf>
    <xf numFmtId="170" fontId="2" fillId="6" borderId="4" xfId="3" applyNumberFormat="1" applyFont="1" applyBorder="1" applyAlignment="1">
      <alignment horizontal="center"/>
    </xf>
    <xf numFmtId="170" fontId="2" fillId="6" borderId="6" xfId="3" applyNumberFormat="1" applyFont="1" applyBorder="1" applyAlignment="1">
      <alignment horizontal="center"/>
    </xf>
    <xf numFmtId="0" fontId="0" fillId="6" borderId="7" xfId="3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9" fontId="0" fillId="0" borderId="0" xfId="4" applyFont="1" applyAlignment="1">
      <alignment horizontal="center"/>
    </xf>
    <xf numFmtId="9" fontId="0" fillId="0" borderId="0" xfId="4" applyFont="1"/>
    <xf numFmtId="9" fontId="0" fillId="0" borderId="0" xfId="0" applyNumberFormat="1" applyAlignment="1">
      <alignment horizontal="center"/>
    </xf>
    <xf numFmtId="9" fontId="2" fillId="3" borderId="0" xfId="2" applyNumberFormat="1" applyAlignment="1">
      <alignment horizontal="center"/>
    </xf>
    <xf numFmtId="0" fontId="3" fillId="0" borderId="0" xfId="0" applyFont="1" applyAlignment="1">
      <alignment horizontal="right"/>
    </xf>
    <xf numFmtId="3" fontId="2" fillId="3" borderId="0" xfId="2" applyNumberFormat="1"/>
    <xf numFmtId="6" fontId="2" fillId="3" borderId="0" xfId="2" applyNumberFormat="1" applyAlignment="1">
      <alignment horizontal="center"/>
    </xf>
    <xf numFmtId="0" fontId="3" fillId="4" borderId="0" xfId="0" applyFont="1" applyFill="1" applyAlignment="1">
      <alignment horizontal="center"/>
    </xf>
    <xf numFmtId="3" fontId="12" fillId="3" borderId="0" xfId="2" applyNumberFormat="1" applyFont="1" applyAlignment="1">
      <alignment horizontal="center"/>
    </xf>
    <xf numFmtId="6" fontId="12" fillId="3" borderId="0" xfId="2" applyNumberFormat="1" applyFont="1" applyAlignment="1">
      <alignment horizontal="center"/>
    </xf>
    <xf numFmtId="1" fontId="12" fillId="3" borderId="0" xfId="2" applyNumberFormat="1" applyFont="1" applyAlignment="1">
      <alignment horizontal="center"/>
    </xf>
    <xf numFmtId="3" fontId="9" fillId="8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9" fillId="8" borderId="0" xfId="0" applyNumberFormat="1" applyFont="1" applyFill="1" applyAlignment="1">
      <alignment horizontal="center"/>
    </xf>
    <xf numFmtId="170" fontId="12" fillId="3" borderId="0" xfId="2" applyNumberFormat="1" applyFont="1" applyAlignment="1">
      <alignment horizontal="center"/>
    </xf>
    <xf numFmtId="168" fontId="2" fillId="3" borderId="0" xfId="2" applyNumberFormat="1" applyAlignment="1">
      <alignment horizontal="center"/>
    </xf>
    <xf numFmtId="4" fontId="2" fillId="3" borderId="0" xfId="2" applyNumberFormat="1" applyAlignment="1">
      <alignment horizontal="center"/>
    </xf>
    <xf numFmtId="2" fontId="2" fillId="3" borderId="0" xfId="2" applyNumberFormat="1" applyAlignment="1">
      <alignment horizontal="center"/>
    </xf>
    <xf numFmtId="9" fontId="2" fillId="3" borderId="0" xfId="4" applyFont="1" applyFill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Font="1" applyFill="1"/>
    <xf numFmtId="171" fontId="2" fillId="3" borderId="0" xfId="2" applyNumberFormat="1" applyAlignment="1">
      <alignment horizontal="center"/>
    </xf>
    <xf numFmtId="172" fontId="2" fillId="3" borderId="0" xfId="2" applyNumberFormat="1" applyAlignment="1">
      <alignment horizontal="center"/>
    </xf>
    <xf numFmtId="0" fontId="0" fillId="0" borderId="0" xfId="0" applyAlignment="1">
      <alignment horizontal="left"/>
    </xf>
    <xf numFmtId="6" fontId="1" fillId="2" borderId="0" xfId="1" applyNumberFormat="1" applyAlignment="1">
      <alignment horizontal="center"/>
    </xf>
    <xf numFmtId="164" fontId="1" fillId="2" borderId="0" xfId="1" applyNumberFormat="1" applyAlignment="1">
      <alignment horizontal="center"/>
    </xf>
    <xf numFmtId="0" fontId="3" fillId="9" borderId="0" xfId="0" applyFont="1" applyFill="1"/>
    <xf numFmtId="0" fontId="0" fillId="9" borderId="0" xfId="0" applyFill="1"/>
    <xf numFmtId="0" fontId="14" fillId="9" borderId="0" xfId="0" applyFont="1" applyFill="1"/>
    <xf numFmtId="0" fontId="5" fillId="9" borderId="0" xfId="0" applyFont="1" applyFill="1"/>
    <xf numFmtId="9" fontId="12" fillId="3" borderId="0" xfId="2" applyNumberFormat="1" applyFont="1" applyAlignment="1">
      <alignment horizontal="center"/>
    </xf>
    <xf numFmtId="8" fontId="1" fillId="2" borderId="0" xfId="1" applyNumberFormat="1" applyAlignment="1">
      <alignment horizontal="center"/>
    </xf>
    <xf numFmtId="6" fontId="2" fillId="3" borderId="0" xfId="2" applyNumberFormat="1"/>
    <xf numFmtId="8" fontId="2" fillId="3" borderId="0" xfId="2" applyNumberFormat="1" applyAlignment="1">
      <alignment horizontal="center"/>
    </xf>
    <xf numFmtId="0" fontId="0" fillId="0" borderId="0" xfId="0" applyAlignment="1">
      <alignment horizontal="center" wrapText="1"/>
    </xf>
    <xf numFmtId="9" fontId="1" fillId="2" borderId="0" xfId="1" applyNumberFormat="1" applyAlignment="1">
      <alignment horizontal="center"/>
    </xf>
    <xf numFmtId="1" fontId="2" fillId="3" borderId="0" xfId="4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5">
    <cellStyle name="Bad" xfId="2" builtinId="27"/>
    <cellStyle name="Good" xfId="1" builtinId="26"/>
    <cellStyle name="Normal" xfId="0" builtinId="0"/>
    <cellStyle name="Note" xfId="3" builtinId="1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River Power vs River Width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Sheet1!$AJ$13</c:f>
              <c:strCache>
                <c:ptCount val="1"/>
                <c:pt idx="0">
                  <c:v>KWH/Yr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1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0068099595658651"/>
                  <c:y val="-6.25601487314085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Sheet1!$AI$14:$AI$17</c:f>
              <c:numCache>
                <c:formatCode>General</c:formatCode>
                <c:ptCount val="4"/>
                <c:pt idx="0">
                  <c:v>900</c:v>
                </c:pt>
                <c:pt idx="1">
                  <c:v>1000</c:v>
                </c:pt>
                <c:pt idx="2">
                  <c:v>1300</c:v>
                </c:pt>
                <c:pt idx="3">
                  <c:v>400</c:v>
                </c:pt>
              </c:numCache>
            </c:numRef>
          </c:xVal>
          <c:yVal>
            <c:numRef>
              <c:f>Sheet1!$AJ$14:$AJ$17</c:f>
              <c:numCache>
                <c:formatCode>#,##0</c:formatCode>
                <c:ptCount val="4"/>
                <c:pt idx="0">
                  <c:v>14754276.235636361</c:v>
                </c:pt>
                <c:pt idx="1">
                  <c:v>9378974.5920000002</c:v>
                </c:pt>
                <c:pt idx="2">
                  <c:v>208709987.95636362</c:v>
                </c:pt>
                <c:pt idx="3">
                  <c:v>2577920.5261963638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E-47A7-92F9-F1AC0710E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38656"/>
        <c:axId val="465839312"/>
      </c:scatterChart>
      <c:valAx>
        <c:axId val="46583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River Width Feet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839312"/>
        <c:crosses val="autoZero"/>
        <c:crossBetween val="midCat"/>
      </c:valAx>
      <c:valAx>
        <c:axId val="4658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83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67000"/>
          </a:schemeClr>
        </a:gs>
        <a:gs pos="48000">
          <a:schemeClr val="accent2">
            <a:lumMod val="97000"/>
            <a:lumOff val="3000"/>
          </a:schemeClr>
        </a:gs>
        <a:gs pos="100000">
          <a:schemeClr val="accent2">
            <a:lumMod val="60000"/>
            <a:lumOff val="40000"/>
          </a:schemeClr>
        </a:gs>
      </a:gsLst>
      <a:lin ang="16200000" scaled="1"/>
      <a:tileRect/>
    </a:gra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River Power Variable Effect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strRef>
              <c:f>Sheet1!$V$40:$V$42</c:f>
              <c:strCache>
                <c:ptCount val="3"/>
                <c:pt idx="0">
                  <c:v>Double Depth Effect</c:v>
                </c:pt>
                <c:pt idx="1">
                  <c:v>Double Width Effect</c:v>
                </c:pt>
                <c:pt idx="2">
                  <c:v>Double Current Effect</c:v>
                </c:pt>
              </c:strCache>
            </c:strRef>
          </c:cat>
          <c:val>
            <c:numRef>
              <c:f>Sheet1!$X$40:$X$42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8-44E5-8378-637B66CE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997960"/>
        <c:axId val="585005832"/>
      </c:barChart>
      <c:catAx>
        <c:axId val="58499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05832"/>
        <c:crosses val="autoZero"/>
        <c:auto val="1"/>
        <c:lblAlgn val="ctr"/>
        <c:lblOffset val="100"/>
        <c:noMultiLvlLbl val="0"/>
      </c:catAx>
      <c:valAx>
        <c:axId val="58500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9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67000"/>
          </a:schemeClr>
        </a:gs>
        <a:gs pos="48000">
          <a:schemeClr val="accent1">
            <a:lumMod val="97000"/>
            <a:lumOff val="3000"/>
          </a:schemeClr>
        </a:gs>
        <a:gs pos="100000">
          <a:schemeClr val="accent1">
            <a:lumMod val="60000"/>
            <a:lumOff val="40000"/>
          </a:schemeClr>
        </a:gs>
      </a:gsLst>
      <a:lin ang="16200000" scaled="1"/>
      <a:tileRect/>
    </a:gra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River Power vs River Current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Sheet1!$AS$13</c:f>
              <c:strCache>
                <c:ptCount val="1"/>
                <c:pt idx="0">
                  <c:v>KWH/Yr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1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5544225721784777"/>
                  <c:y val="0.106064814814814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Sheet1!$AR$14:$AR$17</c:f>
              <c:numCache>
                <c:formatCode>#,##0.0</c:formatCode>
                <c:ptCount val="4"/>
                <c:pt idx="0">
                  <c:v>1.34006734006734</c:v>
                </c:pt>
                <c:pt idx="1">
                  <c:v>0.76666666666666672</c:v>
                </c:pt>
                <c:pt idx="2">
                  <c:v>3.7039473684210527</c:v>
                </c:pt>
                <c:pt idx="3">
                  <c:v>0.52681818181818185</c:v>
                </c:pt>
              </c:numCache>
            </c:numRef>
          </c:xVal>
          <c:yVal>
            <c:numRef>
              <c:f>Sheet1!$AS$14:$AS$17</c:f>
              <c:numCache>
                <c:formatCode>#,##0</c:formatCode>
                <c:ptCount val="4"/>
                <c:pt idx="0">
                  <c:v>14754276.235636361</c:v>
                </c:pt>
                <c:pt idx="1">
                  <c:v>9378974.5920000002</c:v>
                </c:pt>
                <c:pt idx="2">
                  <c:v>208709987.95636362</c:v>
                </c:pt>
                <c:pt idx="3">
                  <c:v>2577920.5261963638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8-4B25-9C45-3AD738B6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785264"/>
        <c:axId val="406814064"/>
      </c:scatterChart>
      <c:valAx>
        <c:axId val="40778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River Current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14064"/>
        <c:crosses val="autoZero"/>
        <c:crossBetween val="midCat"/>
      </c:valAx>
      <c:valAx>
        <c:axId val="40681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78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67000"/>
          </a:schemeClr>
        </a:gs>
        <a:gs pos="48000">
          <a:schemeClr val="accent2">
            <a:lumMod val="97000"/>
            <a:lumOff val="3000"/>
          </a:schemeClr>
        </a:gs>
        <a:gs pos="100000">
          <a:schemeClr val="accent2">
            <a:lumMod val="60000"/>
            <a:lumOff val="40000"/>
          </a:schemeClr>
        </a:gs>
      </a:gsLst>
      <a:lin ang="16200000" scaled="1"/>
      <a:tileRect/>
    </a:gra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3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</xdr:row>
      <xdr:rowOff>180975</xdr:rowOff>
    </xdr:from>
    <xdr:to>
      <xdr:col>8</xdr:col>
      <xdr:colOff>404996</xdr:colOff>
      <xdr:row>17</xdr:row>
      <xdr:rowOff>190499</xdr:rowOff>
    </xdr:to>
    <xdr:pic>
      <xdr:nvPicPr>
        <xdr:cNvPr id="2" name="Picture 1" descr="Related image">
          <a:extLst>
            <a:ext uri="{FF2B5EF4-FFF2-40B4-BE49-F238E27FC236}">
              <a16:creationId xmlns:a16="http://schemas.microsoft.com/office/drawing/2014/main" id="{9D174404-8FE4-4511-85BA-30775A0D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0"/>
          <a:ext cx="4291196" cy="267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20</xdr:row>
      <xdr:rowOff>84638</xdr:rowOff>
    </xdr:from>
    <xdr:to>
      <xdr:col>8</xdr:col>
      <xdr:colOff>438150</xdr:colOff>
      <xdr:row>35</xdr:row>
      <xdr:rowOff>3740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CEA0A6-FD81-4734-89CC-7D709912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6" y="3999413"/>
          <a:ext cx="4343399" cy="2776602"/>
        </a:xfrm>
        <a:prstGeom prst="rect">
          <a:avLst/>
        </a:prstGeom>
      </xdr:spPr>
    </xdr:pic>
    <xdr:clientData/>
  </xdr:twoCellAnchor>
  <xdr:twoCellAnchor>
    <xdr:from>
      <xdr:col>32</xdr:col>
      <xdr:colOff>66675</xdr:colOff>
      <xdr:row>20</xdr:row>
      <xdr:rowOff>14287</xdr:rowOff>
    </xdr:from>
    <xdr:to>
      <xdr:col>39</xdr:col>
      <xdr:colOff>161925</xdr:colOff>
      <xdr:row>34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E1C0B6-3BE0-4144-8CF3-7A53E9D23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114300</xdr:colOff>
      <xdr:row>43</xdr:row>
      <xdr:rowOff>147637</xdr:rowOff>
    </xdr:from>
    <xdr:to>
      <xdr:col>28</xdr:col>
      <xdr:colOff>295275</xdr:colOff>
      <xdr:row>60</xdr:row>
      <xdr:rowOff>223837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6D28980-E152-4E31-856A-B22F67CA6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19</xdr:row>
      <xdr:rowOff>185737</xdr:rowOff>
    </xdr:from>
    <xdr:to>
      <xdr:col>46</xdr:col>
      <xdr:colOff>590550</xdr:colOff>
      <xdr:row>34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9CB46E-7683-4EE2-9E09-B286C536E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180974</xdr:colOff>
      <xdr:row>42</xdr:row>
      <xdr:rowOff>58866</xdr:rowOff>
    </xdr:from>
    <xdr:to>
      <xdr:col>0</xdr:col>
      <xdr:colOff>3695699</xdr:colOff>
      <xdr:row>54</xdr:row>
      <xdr:rowOff>110158</xdr:rowOff>
    </xdr:to>
    <xdr:pic>
      <xdr:nvPicPr>
        <xdr:cNvPr id="7" name="Picture 6" descr="Related image">
          <a:extLst>
            <a:ext uri="{FF2B5EF4-FFF2-40B4-BE49-F238E27FC236}">
              <a16:creationId xmlns:a16="http://schemas.microsoft.com/office/drawing/2014/main" id="{AAC09D3C-BA9D-4E56-A62A-97784566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8240841"/>
          <a:ext cx="3514725" cy="233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58</xdr:row>
      <xdr:rowOff>123824</xdr:rowOff>
    </xdr:from>
    <xdr:to>
      <xdr:col>0</xdr:col>
      <xdr:colOff>3733801</xdr:colOff>
      <xdr:row>65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8BBC49-CF3C-4C55-BC2D-C5A362A1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1544299"/>
          <a:ext cx="3600450" cy="1600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AEA9-AAA2-411B-8D04-771DC9E398CB}">
  <dimension ref="A1:AV70"/>
  <sheetViews>
    <sheetView tabSelected="1" topLeftCell="A7" workbookViewId="0">
      <selection activeCell="J23" sqref="J23"/>
    </sheetView>
  </sheetViews>
  <sheetFormatPr defaultRowHeight="15" x14ac:dyDescent="0.25"/>
  <cols>
    <col min="1" max="1" width="56.7109375" customWidth="1"/>
    <col min="2" max="2" width="16.28515625" customWidth="1"/>
    <col min="3" max="3" width="14" customWidth="1"/>
    <col min="4" max="4" width="13.42578125" customWidth="1"/>
    <col min="5" max="5" width="14.5703125" customWidth="1"/>
    <col min="6" max="6" width="13.85546875" customWidth="1"/>
    <col min="7" max="7" width="14.42578125" customWidth="1"/>
    <col min="8" max="8" width="16" customWidth="1"/>
    <col min="9" max="9" width="13.28515625" customWidth="1"/>
    <col min="10" max="10" width="13.42578125" customWidth="1"/>
    <col min="11" max="11" width="15.5703125" bestFit="1" customWidth="1"/>
    <col min="12" max="12" width="12.85546875" customWidth="1"/>
    <col min="13" max="13" width="13.28515625" customWidth="1"/>
    <col min="14" max="14" width="11.85546875" bestFit="1" customWidth="1"/>
    <col min="15" max="15" width="13" customWidth="1"/>
    <col min="16" max="16" width="13.7109375" customWidth="1"/>
    <col min="17" max="17" width="11.140625" bestFit="1" customWidth="1"/>
    <col min="18" max="21" width="11.140625" customWidth="1"/>
    <col min="22" max="22" width="11.140625" bestFit="1" customWidth="1"/>
    <col min="23" max="23" width="13.140625" customWidth="1"/>
    <col min="24" max="27" width="11.140625" customWidth="1"/>
    <col min="28" max="28" width="11.140625" bestFit="1" customWidth="1"/>
    <col min="29" max="29" width="12.5703125" customWidth="1"/>
    <col min="34" max="35" width="10.42578125" customWidth="1"/>
    <col min="36" max="36" width="13.85546875" customWidth="1"/>
    <col min="40" max="40" width="15.42578125" customWidth="1"/>
    <col min="41" max="41" width="16" customWidth="1"/>
    <col min="42" max="42" width="14.28515625" customWidth="1"/>
    <col min="43" max="43" width="9.5703125" bestFit="1" customWidth="1"/>
    <col min="44" max="44" width="11.5703125" bestFit="1" customWidth="1"/>
    <col min="45" max="45" width="12.140625" customWidth="1"/>
    <col min="46" max="46" width="12.5703125" customWidth="1"/>
  </cols>
  <sheetData>
    <row r="1" spans="1:48" ht="23.25" x14ac:dyDescent="0.35">
      <c r="A1" s="1" t="s">
        <v>125</v>
      </c>
      <c r="B1" s="20" t="s">
        <v>128</v>
      </c>
      <c r="C1" s="19"/>
      <c r="D1" s="2"/>
      <c r="E1" s="2"/>
      <c r="F1" s="2"/>
      <c r="G1" s="2"/>
      <c r="H1" s="17" t="s">
        <v>126</v>
      </c>
      <c r="I1" s="1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0</v>
      </c>
      <c r="B2" s="4"/>
      <c r="C2" s="12">
        <v>2019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4" spans="1:48" x14ac:dyDescent="0.25">
      <c r="B4" s="18" t="s">
        <v>75</v>
      </c>
      <c r="N4" s="2"/>
      <c r="O4" s="2"/>
      <c r="P4" s="2"/>
      <c r="Q4" s="2"/>
      <c r="R4" s="2"/>
      <c r="S4" s="2"/>
      <c r="T4" s="2"/>
      <c r="U4" s="2"/>
      <c r="V4" s="50"/>
      <c r="W4" s="50"/>
      <c r="X4" s="50" t="s">
        <v>82</v>
      </c>
      <c r="Y4" s="50"/>
      <c r="Z4" s="50"/>
      <c r="AA4" s="50"/>
      <c r="AB4" s="2"/>
      <c r="AC4" s="2"/>
      <c r="AD4" s="2"/>
      <c r="AE4" s="2"/>
      <c r="AG4" s="4"/>
      <c r="AH4" s="4"/>
      <c r="AI4" s="4"/>
      <c r="AJ4" s="4"/>
      <c r="AK4" s="4"/>
      <c r="AL4" s="4"/>
      <c r="AM4" s="4"/>
      <c r="AN4" s="4"/>
      <c r="AO4" s="12" t="s">
        <v>83</v>
      </c>
      <c r="AP4" s="12"/>
      <c r="AQ4" s="4"/>
      <c r="AR4" s="4"/>
      <c r="AS4" s="4"/>
      <c r="AT4" s="4"/>
      <c r="AU4" s="4"/>
      <c r="AV4" s="4"/>
    </row>
    <row r="5" spans="1:48" x14ac:dyDescent="0.25">
      <c r="A5" s="5" t="s">
        <v>1</v>
      </c>
      <c r="C5" s="13" t="s">
        <v>22</v>
      </c>
      <c r="N5" s="5" t="s">
        <v>34</v>
      </c>
      <c r="AC5" s="41" t="s">
        <v>46</v>
      </c>
      <c r="AD5" s="41" t="s">
        <v>48</v>
      </c>
      <c r="AE5" s="41" t="s">
        <v>48</v>
      </c>
      <c r="AF5" s="41"/>
      <c r="AK5" s="41"/>
      <c r="AL5" s="41" t="s">
        <v>70</v>
      </c>
      <c r="AQ5" s="5"/>
      <c r="AR5" s="5"/>
      <c r="AS5" s="5"/>
      <c r="AT5" s="41" t="s">
        <v>46</v>
      </c>
      <c r="AU5" s="41" t="s">
        <v>48</v>
      </c>
      <c r="AV5" s="41" t="s">
        <v>48</v>
      </c>
    </row>
    <row r="6" spans="1:48" x14ac:dyDescent="0.25">
      <c r="A6" t="s">
        <v>2</v>
      </c>
      <c r="B6" s="21">
        <v>10900</v>
      </c>
      <c r="C6" s="30">
        <f>B6*B10</f>
        <v>2692.3</v>
      </c>
      <c r="N6" s="41" t="s">
        <v>35</v>
      </c>
      <c r="O6" s="41" t="s">
        <v>40</v>
      </c>
      <c r="P6" s="41" t="s">
        <v>41</v>
      </c>
      <c r="Q6" s="41" t="s">
        <v>42</v>
      </c>
      <c r="R6" s="41" t="s">
        <v>96</v>
      </c>
      <c r="S6" s="41" t="s">
        <v>84</v>
      </c>
      <c r="T6" s="41" t="s">
        <v>85</v>
      </c>
      <c r="U6" s="41" t="s">
        <v>86</v>
      </c>
      <c r="V6" s="41" t="s">
        <v>50</v>
      </c>
      <c r="W6" s="41" t="s">
        <v>71</v>
      </c>
      <c r="X6" s="41" t="s">
        <v>51</v>
      </c>
      <c r="Y6" s="41" t="s">
        <v>56</v>
      </c>
      <c r="Z6" s="41" t="s">
        <v>57</v>
      </c>
      <c r="AA6" s="41" t="s">
        <v>58</v>
      </c>
      <c r="AB6" s="41" t="s">
        <v>43</v>
      </c>
      <c r="AC6" s="41" t="s">
        <v>47</v>
      </c>
      <c r="AD6" s="41" t="s">
        <v>44</v>
      </c>
      <c r="AE6" s="41" t="s">
        <v>45</v>
      </c>
      <c r="AF6" s="41"/>
      <c r="AG6" s="41" t="s">
        <v>35</v>
      </c>
      <c r="AH6" s="41" t="s">
        <v>63</v>
      </c>
      <c r="AI6" s="41" t="s">
        <v>67</v>
      </c>
      <c r="AJ6" s="41" t="s">
        <v>68</v>
      </c>
      <c r="AK6" s="41" t="s">
        <v>69</v>
      </c>
      <c r="AL6" s="41" t="s">
        <v>50</v>
      </c>
      <c r="AM6" s="41" t="s">
        <v>54</v>
      </c>
      <c r="AN6" s="41" t="s">
        <v>59</v>
      </c>
      <c r="AO6" s="41" t="s">
        <v>55</v>
      </c>
      <c r="AP6" s="41" t="s">
        <v>56</v>
      </c>
      <c r="AQ6" s="41" t="s">
        <v>57</v>
      </c>
      <c r="AR6" s="41" t="s">
        <v>58</v>
      </c>
      <c r="AS6" s="41" t="s">
        <v>43</v>
      </c>
      <c r="AT6" s="41" t="s">
        <v>47</v>
      </c>
      <c r="AU6" s="41" t="s">
        <v>44</v>
      </c>
      <c r="AV6" s="41" t="s">
        <v>45</v>
      </c>
    </row>
    <row r="7" spans="1:48" x14ac:dyDescent="0.25">
      <c r="A7" t="s">
        <v>19</v>
      </c>
      <c r="B7" s="8">
        <f>B6*1000/(365*24)</f>
        <v>1244.2922374429224</v>
      </c>
      <c r="N7" s="24" t="s">
        <v>36</v>
      </c>
      <c r="O7" s="13">
        <v>325</v>
      </c>
      <c r="P7" s="13">
        <v>900</v>
      </c>
      <c r="Q7" s="13">
        <v>16.5</v>
      </c>
      <c r="R7" s="22">
        <v>11580</v>
      </c>
      <c r="S7" s="22">
        <v>1738</v>
      </c>
      <c r="T7" s="58">
        <f>-S7/(O7*5280)</f>
        <v>-1.0128205128205128E-3</v>
      </c>
      <c r="U7" s="59">
        <f>DEGREES(ATAN(T7))</f>
        <v>-5.8030320946291139E-2</v>
      </c>
      <c r="V7" s="10">
        <v>1.3400673400673411</v>
      </c>
      <c r="W7" s="10">
        <f>V7/5280*3600</f>
        <v>0.9136822773186416</v>
      </c>
      <c r="X7" s="8">
        <f>P7*Q7*V7</f>
        <v>19900.000000000015</v>
      </c>
      <c r="Y7" s="8">
        <f>X7*62.4</f>
        <v>1241760.0000000009</v>
      </c>
      <c r="Z7" s="8">
        <f>Y7/550</f>
        <v>2257.7454545454561</v>
      </c>
      <c r="AA7" s="8">
        <f>Z7*746/1000</f>
        <v>1684.2781090909102</v>
      </c>
      <c r="AB7" s="8">
        <f>AA7*365*24</f>
        <v>14754276.235636372</v>
      </c>
      <c r="AC7" s="49">
        <f>AB7*$B$10</f>
        <v>3644306.2302021841</v>
      </c>
      <c r="AD7" s="8">
        <f>AB7/$B$6</f>
        <v>1353.6033243703093</v>
      </c>
      <c r="AE7" s="8">
        <f>AB7/$B$14</f>
        <v>3421.4242532178441</v>
      </c>
      <c r="AF7" s="13"/>
      <c r="AG7" s="24" t="s">
        <v>36</v>
      </c>
      <c r="AH7" s="13" t="s">
        <v>64</v>
      </c>
      <c r="AI7" s="22">
        <v>900</v>
      </c>
      <c r="AJ7" s="55">
        <v>16.5</v>
      </c>
      <c r="AK7" s="54">
        <v>19900</v>
      </c>
      <c r="AL7" s="56">
        <f>AK7/(AI7*AJ7)</f>
        <v>1.34006734006734</v>
      </c>
      <c r="AM7" s="43">
        <f>AK7/AK9</f>
        <v>7.0692717584369444E-2</v>
      </c>
      <c r="AN7" t="s">
        <v>53</v>
      </c>
      <c r="AP7" s="8">
        <f>AK7*62.4</f>
        <v>1241760</v>
      </c>
      <c r="AQ7" s="8">
        <f>AP7/550</f>
        <v>2257.7454545454543</v>
      </c>
      <c r="AR7" s="8">
        <f>AQ7*746/1000</f>
        <v>1684.2781090909089</v>
      </c>
      <c r="AS7" s="48">
        <f>AR7*365*24</f>
        <v>14754276.235636361</v>
      </c>
      <c r="AT7" s="49">
        <f>AS7*$B$10</f>
        <v>3644306.2302021813</v>
      </c>
      <c r="AU7" s="8">
        <f>AS7/$B$6</f>
        <v>1353.6033243703084</v>
      </c>
      <c r="AV7" s="11">
        <f>AE14</f>
        <v>6842.8485064356883</v>
      </c>
    </row>
    <row r="8" spans="1:48" x14ac:dyDescent="0.25">
      <c r="A8" t="s">
        <v>3</v>
      </c>
      <c r="B8" s="21">
        <v>3500</v>
      </c>
      <c r="C8" s="30">
        <f>B8*B10</f>
        <v>864.5</v>
      </c>
      <c r="N8" s="24" t="s">
        <v>37</v>
      </c>
      <c r="O8" s="13">
        <v>128</v>
      </c>
      <c r="P8" s="13">
        <v>1000</v>
      </c>
      <c r="Q8" s="13">
        <v>16.5</v>
      </c>
      <c r="R8" s="22">
        <v>7340</v>
      </c>
      <c r="S8" s="22">
        <v>3831</v>
      </c>
      <c r="T8" s="58">
        <f>-S8/(O8*5280)</f>
        <v>-5.6685014204545456E-3</v>
      </c>
      <c r="U8" s="59">
        <f>DEGREES(ATAN(T8))</f>
        <v>-0.32477772900968871</v>
      </c>
      <c r="V8" s="10">
        <v>0.76666666666666661</v>
      </c>
      <c r="W8" s="10">
        <f>V8/5280*3600</f>
        <v>0.52272727272727271</v>
      </c>
      <c r="X8" s="8">
        <f>P8*Q8*V8</f>
        <v>12649.999999999998</v>
      </c>
      <c r="Y8" s="8">
        <f>X8*62.4</f>
        <v>789359.99999999988</v>
      </c>
      <c r="Z8" s="8">
        <f>Y8/550</f>
        <v>1435.1999999999998</v>
      </c>
      <c r="AA8" s="8">
        <f>Z8*746/1000</f>
        <v>1070.6592000000001</v>
      </c>
      <c r="AB8" s="8">
        <f>AA8*365*24</f>
        <v>9378974.5920000002</v>
      </c>
      <c r="AC8" s="49">
        <f>AB8*$B$10</f>
        <v>2316606.7242240002</v>
      </c>
      <c r="AD8" s="8">
        <f>AB8/$B$6</f>
        <v>860.45638458715598</v>
      </c>
      <c r="AE8" s="8">
        <f>AB8/$B$14</f>
        <v>2174.9254674977742</v>
      </c>
      <c r="AF8" s="13"/>
      <c r="AG8" s="24" t="s">
        <v>37</v>
      </c>
      <c r="AH8" s="13" t="s">
        <v>64</v>
      </c>
      <c r="AI8" s="22">
        <v>1000</v>
      </c>
      <c r="AJ8" s="55">
        <v>16.5</v>
      </c>
      <c r="AK8" s="54">
        <v>12650</v>
      </c>
      <c r="AL8" s="56">
        <f>AK8/(AI8*AJ8)</f>
        <v>0.76666666666666672</v>
      </c>
      <c r="AM8" s="43">
        <f>AK8/AK9</f>
        <v>4.493783303730018E-2</v>
      </c>
      <c r="AN8" t="s">
        <v>53</v>
      </c>
      <c r="AP8" s="8">
        <f>AK8*62.4</f>
        <v>789360</v>
      </c>
      <c r="AQ8" s="8">
        <f>AP8/550</f>
        <v>1435.2</v>
      </c>
      <c r="AR8" s="8">
        <f>AQ8*746/1000</f>
        <v>1070.6592000000001</v>
      </c>
      <c r="AS8" s="48">
        <f t="shared" ref="AS8:AS10" si="0">AR8*365*24</f>
        <v>9378974.5920000002</v>
      </c>
      <c r="AT8" s="49">
        <f>AS8*$B$10</f>
        <v>2316606.7242240002</v>
      </c>
      <c r="AU8" s="8">
        <f>AS8/$B$6</f>
        <v>860.45638458715598</v>
      </c>
      <c r="AV8" s="11">
        <f>AE15</f>
        <v>4349.8509349955484</v>
      </c>
    </row>
    <row r="9" spans="1:48" x14ac:dyDescent="0.25">
      <c r="A9" t="s">
        <v>20</v>
      </c>
      <c r="B9" s="8">
        <f>B8*1000/(365*24)</f>
        <v>399.54337899543378</v>
      </c>
      <c r="N9" s="24" t="s">
        <v>38</v>
      </c>
      <c r="O9" s="13">
        <v>981</v>
      </c>
      <c r="P9" s="13">
        <v>1300</v>
      </c>
      <c r="Q9" s="13">
        <v>16.5</v>
      </c>
      <c r="R9" s="22">
        <v>189422</v>
      </c>
      <c r="S9" s="22">
        <v>1950</v>
      </c>
      <c r="T9" s="58">
        <f>-S9/(O9*5280)</f>
        <v>-3.7647113335186728E-4</v>
      </c>
      <c r="U9" s="59">
        <f>DEGREES(ATAN(T9))</f>
        <v>-2.1570206030516709E-2</v>
      </c>
      <c r="V9" s="10">
        <f>X9/(P9*Q9)</f>
        <v>1.5174825174825182</v>
      </c>
      <c r="W9" s="10">
        <f>V9/5280*3600</f>
        <v>1.0346471710108078</v>
      </c>
      <c r="X9" s="8">
        <f>SUM(X7,X8)</f>
        <v>32550.000000000015</v>
      </c>
      <c r="Y9" s="8">
        <f>X9*62.4</f>
        <v>2031120.0000000009</v>
      </c>
      <c r="Z9" s="8">
        <f>Y9/550</f>
        <v>3692.9454545454564</v>
      </c>
      <c r="AA9" s="8">
        <f>Z9*746/1000</f>
        <v>2754.9373090909103</v>
      </c>
      <c r="AB9" s="8">
        <f>AA9*365*24</f>
        <v>24133250.827636372</v>
      </c>
      <c r="AC9" s="49">
        <f>AB9*$B$10</f>
        <v>5960912.9544261843</v>
      </c>
      <c r="AD9" s="8">
        <f>AB9/$B$6</f>
        <v>2214.0597089574653</v>
      </c>
      <c r="AE9" s="8">
        <f>AB9/$B$14</f>
        <v>5596.3497207156179</v>
      </c>
      <c r="AF9" s="13"/>
      <c r="AG9" s="24" t="s">
        <v>38</v>
      </c>
      <c r="AH9" s="13" t="s">
        <v>66</v>
      </c>
      <c r="AI9" s="22">
        <v>4000</v>
      </c>
      <c r="AJ9" s="22">
        <v>19</v>
      </c>
      <c r="AK9" s="54">
        <v>281500</v>
      </c>
      <c r="AL9" s="56">
        <f>AK9/(AI9*AJ9)</f>
        <v>3.7039473684210527</v>
      </c>
      <c r="AM9" s="43"/>
      <c r="AO9" s="46">
        <f>1-AM7-AM8</f>
        <v>0.8843694493783304</v>
      </c>
      <c r="AP9" s="8">
        <f>AK9*62.4</f>
        <v>17565600</v>
      </c>
      <c r="AQ9" s="8">
        <f>AP9/550</f>
        <v>31937.454545454544</v>
      </c>
      <c r="AR9" s="8">
        <f>AQ9*746/1000</f>
        <v>23825.341090909089</v>
      </c>
      <c r="AS9" s="48">
        <f t="shared" si="0"/>
        <v>208709987.95636362</v>
      </c>
      <c r="AT9" s="49">
        <f>AS9*$B$10</f>
        <v>51551367.02522181</v>
      </c>
      <c r="AU9" s="8">
        <f>AS9/$B$6</f>
        <v>19147.705317097581</v>
      </c>
      <c r="AV9" s="11">
        <f>AE16</f>
        <v>11192.699441431236</v>
      </c>
    </row>
    <row r="10" spans="1:48" x14ac:dyDescent="0.25">
      <c r="A10" t="s">
        <v>32</v>
      </c>
      <c r="B10" s="29">
        <v>0.247</v>
      </c>
      <c r="N10" s="24" t="s">
        <v>39</v>
      </c>
      <c r="O10" s="13">
        <v>122</v>
      </c>
      <c r="P10" s="13">
        <v>400</v>
      </c>
      <c r="Q10" s="13">
        <v>16.5</v>
      </c>
      <c r="R10" s="22">
        <v>1715</v>
      </c>
      <c r="S10" s="22">
        <v>1964</v>
      </c>
      <c r="T10" s="58">
        <f>-S10/(O10*5280)</f>
        <v>-3.0489319423745655E-3</v>
      </c>
      <c r="U10" s="59">
        <f>DEGREES(ATAN(T10))</f>
        <v>-0.174690391015553</v>
      </c>
      <c r="V10" s="10">
        <v>0.52681818181818185</v>
      </c>
      <c r="W10" s="10">
        <f>V10/5280*3600</f>
        <v>0.35919421487603309</v>
      </c>
      <c r="X10" s="8">
        <f>P10*Q10*V10</f>
        <v>3477</v>
      </c>
      <c r="Y10" s="8">
        <f>X10*62.4</f>
        <v>216964.8</v>
      </c>
      <c r="Z10" s="8">
        <f>Y10/550</f>
        <v>394.48145454545454</v>
      </c>
      <c r="AA10" s="8">
        <f>Z10*746/1000</f>
        <v>294.28316509090911</v>
      </c>
      <c r="AB10" s="8">
        <f>AA10*365*24</f>
        <v>2577920.5261963638</v>
      </c>
      <c r="AC10" s="49">
        <f>AB10*$B$10</f>
        <v>636746.36997050187</v>
      </c>
      <c r="AD10" s="8">
        <f>AB10/$B$6</f>
        <v>236.50647029324438</v>
      </c>
      <c r="AE10" s="8">
        <f>AB10/$B$14</f>
        <v>597.80362454464512</v>
      </c>
      <c r="AF10" s="13"/>
      <c r="AG10" s="24" t="s">
        <v>62</v>
      </c>
      <c r="AH10" s="13" t="s">
        <v>65</v>
      </c>
      <c r="AI10" s="22">
        <v>400</v>
      </c>
      <c r="AJ10" s="55">
        <v>16.5</v>
      </c>
      <c r="AK10" s="54">
        <v>3477</v>
      </c>
      <c r="AL10" s="56">
        <f>AK10/(AI10*AJ10)</f>
        <v>0.52681818181818185</v>
      </c>
      <c r="AM10" s="43">
        <f>AK10/AK8</f>
        <v>0.27486166007905138</v>
      </c>
      <c r="AN10" t="s">
        <v>52</v>
      </c>
      <c r="AO10" s="46">
        <f>1-AM10</f>
        <v>0.72513833992094856</v>
      </c>
      <c r="AP10" s="8">
        <f>AK10*62.4</f>
        <v>216964.8</v>
      </c>
      <c r="AQ10" s="8">
        <f>AP10/550</f>
        <v>394.48145454545454</v>
      </c>
      <c r="AR10" s="8">
        <f>AQ10*746/1000</f>
        <v>294.28316509090911</v>
      </c>
      <c r="AS10" s="48">
        <f t="shared" si="0"/>
        <v>2577920.5261963638</v>
      </c>
      <c r="AT10" s="49">
        <f>AS10*$B$10</f>
        <v>636746.36997050187</v>
      </c>
      <c r="AU10" s="8">
        <f>AS10/$B$6</f>
        <v>236.50647029324438</v>
      </c>
      <c r="AV10" s="11">
        <f>AE17</f>
        <v>1195.6072490892902</v>
      </c>
    </row>
    <row r="11" spans="1:48" x14ac:dyDescent="0.25">
      <c r="Q11" s="13" t="s">
        <v>109</v>
      </c>
      <c r="R11" s="8">
        <f>AVERAGE(R7:R10)</f>
        <v>52514.25</v>
      </c>
      <c r="S11" s="8">
        <f>AVERAGE(S7:S10)</f>
        <v>2370.75</v>
      </c>
      <c r="T11" s="58">
        <f>AVERAGE(T7:T10)</f>
        <v>-2.5266812522503727E-3</v>
      </c>
      <c r="U11" s="59">
        <f>AVERAGE(U7:U10)</f>
        <v>-0.14476716175051241</v>
      </c>
      <c r="V11" s="59">
        <f>AVERAGE(V7:V10)</f>
        <v>1.0377586765086768</v>
      </c>
      <c r="W11" s="41" t="s">
        <v>49</v>
      </c>
      <c r="X11" s="51">
        <f t="shared" ref="X11:AE11" si="1">SUM(X7:X10)</f>
        <v>68577.000000000029</v>
      </c>
      <c r="Y11" s="51">
        <f t="shared" si="1"/>
        <v>4279204.8000000017</v>
      </c>
      <c r="Z11" s="51">
        <f t="shared" si="1"/>
        <v>7780.3723636363675</v>
      </c>
      <c r="AA11" s="51">
        <f t="shared" si="1"/>
        <v>5804.1577832727298</v>
      </c>
      <c r="AB11" s="51">
        <f t="shared" si="1"/>
        <v>50844422.181469105</v>
      </c>
      <c r="AC11" s="57">
        <f t="shared" si="1"/>
        <v>12558572.278822871</v>
      </c>
      <c r="AD11" s="51">
        <f t="shared" si="1"/>
        <v>4664.6258882081747</v>
      </c>
      <c r="AE11" s="51">
        <f t="shared" si="1"/>
        <v>11790.503065975881</v>
      </c>
      <c r="AF11" s="42"/>
      <c r="AM11" s="44"/>
      <c r="AP11" s="51">
        <f>SUM(AP7:AP10)</f>
        <v>19813684.800000001</v>
      </c>
      <c r="AQ11" s="51">
        <f>SUM(AQ7:AQ10)</f>
        <v>36024.881454545459</v>
      </c>
      <c r="AR11" s="51">
        <f>SUM(AR7:AR10)</f>
        <v>26874.561565090909</v>
      </c>
      <c r="AS11" s="51">
        <f>SUM(AS7:AS10)</f>
        <v>235421159.31019634</v>
      </c>
      <c r="AT11" s="52">
        <f>AS11*$B$10</f>
        <v>58149026.349618495</v>
      </c>
      <c r="AU11" s="51">
        <f>AS11/$B$6</f>
        <v>21598.271496348287</v>
      </c>
      <c r="AV11" s="53">
        <f>AE18</f>
        <v>23581.006131951763</v>
      </c>
    </row>
    <row r="12" spans="1:48" x14ac:dyDescent="0.25">
      <c r="A12" s="5" t="s">
        <v>15</v>
      </c>
      <c r="C12" s="33" t="s">
        <v>29</v>
      </c>
      <c r="D12" s="34"/>
      <c r="N12" s="16" t="s">
        <v>76</v>
      </c>
      <c r="AC12" s="13"/>
      <c r="AK12" s="13"/>
      <c r="AL12" s="13"/>
    </row>
    <row r="13" spans="1:48" x14ac:dyDescent="0.25">
      <c r="A13" t="s">
        <v>21</v>
      </c>
      <c r="B13" s="21">
        <v>320</v>
      </c>
      <c r="C13" s="35">
        <f>B13*3.412/100511</f>
        <v>1.0862890628886389E-2</v>
      </c>
      <c r="D13" s="36" t="s">
        <v>28</v>
      </c>
      <c r="N13" s="41" t="s">
        <v>35</v>
      </c>
      <c r="O13" s="41" t="s">
        <v>40</v>
      </c>
      <c r="P13" s="41" t="s">
        <v>41</v>
      </c>
      <c r="Q13" s="41" t="s">
        <v>42</v>
      </c>
      <c r="R13" s="41"/>
      <c r="S13" s="41"/>
      <c r="T13" s="41"/>
      <c r="U13" s="41"/>
      <c r="V13" s="41" t="s">
        <v>50</v>
      </c>
      <c r="W13" s="41" t="s">
        <v>71</v>
      </c>
      <c r="X13" s="41" t="s">
        <v>51</v>
      </c>
      <c r="Y13" s="41" t="s">
        <v>56</v>
      </c>
      <c r="Z13" s="41" t="s">
        <v>57</v>
      </c>
      <c r="AA13" s="41" t="s">
        <v>58</v>
      </c>
      <c r="AB13" s="41" t="s">
        <v>43</v>
      </c>
      <c r="AC13" s="41" t="s">
        <v>47</v>
      </c>
      <c r="AD13" s="41" t="s">
        <v>44</v>
      </c>
      <c r="AE13" s="41" t="s">
        <v>45</v>
      </c>
      <c r="AF13" s="41"/>
      <c r="AI13" s="41" t="s">
        <v>41</v>
      </c>
      <c r="AJ13" s="41" t="s">
        <v>43</v>
      </c>
      <c r="AR13" s="41" t="s">
        <v>50</v>
      </c>
      <c r="AS13" s="41" t="s">
        <v>43</v>
      </c>
    </row>
    <row r="14" spans="1:48" x14ac:dyDescent="0.25">
      <c r="A14" t="s">
        <v>16</v>
      </c>
      <c r="B14" s="8">
        <f>B13*B18/1000</f>
        <v>4312.32</v>
      </c>
      <c r="C14" s="37">
        <f>B14*3412/100511</f>
        <v>146.388314114873</v>
      </c>
      <c r="D14" s="36" t="s">
        <v>26</v>
      </c>
      <c r="N14" s="24" t="s">
        <v>36</v>
      </c>
      <c r="O14" s="13">
        <v>325</v>
      </c>
      <c r="P14" s="13">
        <v>900</v>
      </c>
      <c r="Q14" s="13">
        <v>33</v>
      </c>
      <c r="R14" s="13"/>
      <c r="S14" s="13"/>
      <c r="T14" s="13"/>
      <c r="U14" s="13"/>
      <c r="V14" s="10">
        <f>V7</f>
        <v>1.3400673400673411</v>
      </c>
      <c r="W14" s="10">
        <f>V14/5280*3600</f>
        <v>0.9136822773186416</v>
      </c>
      <c r="X14" s="8">
        <f>P14*Q14*V14</f>
        <v>39800.000000000029</v>
      </c>
      <c r="Y14" s="8">
        <f>X14*62.4</f>
        <v>2483520.0000000019</v>
      </c>
      <c r="Z14" s="8">
        <f>Y14/550</f>
        <v>4515.4909090909123</v>
      </c>
      <c r="AA14" s="8">
        <f>Z14*746/1000</f>
        <v>3368.5562181818204</v>
      </c>
      <c r="AB14" s="8">
        <f>AA14*365*24</f>
        <v>29508552.471272744</v>
      </c>
      <c r="AC14" s="49">
        <f>AB14*$B$10</f>
        <v>7288612.4604043681</v>
      </c>
      <c r="AD14" s="8">
        <f>AB14/$B$6</f>
        <v>2707.2066487406187</v>
      </c>
      <c r="AE14" s="8">
        <f>AB14/$B$14</f>
        <v>6842.8485064356883</v>
      </c>
      <c r="AF14" s="23"/>
      <c r="AI14" s="9">
        <v>900</v>
      </c>
      <c r="AJ14" s="8">
        <f>AS7</f>
        <v>14754276.235636361</v>
      </c>
      <c r="AR14" s="14">
        <f>AL7</f>
        <v>1.34006734006734</v>
      </c>
      <c r="AS14" s="8">
        <f>AS7</f>
        <v>14754276.235636361</v>
      </c>
    </row>
    <row r="15" spans="1:48" x14ac:dyDescent="0.25">
      <c r="A15" t="s">
        <v>22</v>
      </c>
      <c r="B15" s="30">
        <f>B14*B10</f>
        <v>1065.1430399999999</v>
      </c>
      <c r="C15" s="38">
        <f>C14*B16</f>
        <v>433.30940978002405</v>
      </c>
      <c r="D15" s="36" t="s">
        <v>25</v>
      </c>
      <c r="N15" s="24" t="s">
        <v>37</v>
      </c>
      <c r="O15" s="13">
        <v>128</v>
      </c>
      <c r="P15" s="13">
        <v>1000</v>
      </c>
      <c r="Q15" s="13">
        <v>33</v>
      </c>
      <c r="R15" s="13"/>
      <c r="S15" s="13"/>
      <c r="T15" s="13"/>
      <c r="U15" s="13"/>
      <c r="V15" s="10">
        <f>V8</f>
        <v>0.76666666666666661</v>
      </c>
      <c r="W15" s="10">
        <f>V15/5280*3600</f>
        <v>0.52272727272727271</v>
      </c>
      <c r="X15" s="8">
        <f>P15*Q15*V15</f>
        <v>25299.999999999996</v>
      </c>
      <c r="Y15" s="8">
        <f>X15*62.4</f>
        <v>1578719.9999999998</v>
      </c>
      <c r="Z15" s="8">
        <f>Y15/550</f>
        <v>2870.3999999999996</v>
      </c>
      <c r="AA15" s="8">
        <f>Z15*746/1000</f>
        <v>2141.3184000000001</v>
      </c>
      <c r="AB15" s="8">
        <f>AA15*365*24</f>
        <v>18757949.184</v>
      </c>
      <c r="AC15" s="49">
        <f>AB15*$B$10</f>
        <v>4633213.4484480005</v>
      </c>
      <c r="AD15" s="8">
        <f>AB15/$B$6</f>
        <v>1720.912769174312</v>
      </c>
      <c r="AE15" s="8">
        <f>AB15/$B$14</f>
        <v>4349.8509349955484</v>
      </c>
      <c r="AF15" s="23"/>
      <c r="AI15" s="9">
        <v>1000</v>
      </c>
      <c r="AJ15" s="8">
        <f>AS8</f>
        <v>9378974.5920000002</v>
      </c>
      <c r="AR15" s="14">
        <f>AL8</f>
        <v>0.76666666666666672</v>
      </c>
      <c r="AS15" s="8">
        <f>AS8</f>
        <v>9378974.5920000002</v>
      </c>
    </row>
    <row r="16" spans="1:48" x14ac:dyDescent="0.25">
      <c r="A16" t="s">
        <v>23</v>
      </c>
      <c r="B16" s="29">
        <v>2.96</v>
      </c>
      <c r="C16" s="37"/>
      <c r="D16" s="36"/>
      <c r="N16" s="24" t="s">
        <v>38</v>
      </c>
      <c r="O16" s="13">
        <v>981</v>
      </c>
      <c r="P16" s="13">
        <v>1300</v>
      </c>
      <c r="Q16" s="13">
        <v>33</v>
      </c>
      <c r="R16" s="13"/>
      <c r="S16" s="13"/>
      <c r="T16" s="13"/>
      <c r="U16" s="13"/>
      <c r="V16" s="10">
        <f>V9</f>
        <v>1.5174825174825182</v>
      </c>
      <c r="W16" s="10">
        <f>V16/5280*3600</f>
        <v>1.0346471710108078</v>
      </c>
      <c r="X16" s="8">
        <f>SUM(X14,X15)</f>
        <v>65100.000000000029</v>
      </c>
      <c r="Y16" s="8">
        <f>X16*62.4</f>
        <v>4062240.0000000019</v>
      </c>
      <c r="Z16" s="8">
        <f>Y16/550</f>
        <v>7385.8909090909128</v>
      </c>
      <c r="AA16" s="8">
        <f>Z16*746/1000</f>
        <v>5509.8746181818206</v>
      </c>
      <c r="AB16" s="8">
        <f>AA16*365*24</f>
        <v>48266501.655272745</v>
      </c>
      <c r="AC16" s="49">
        <f>AB16*$B$10</f>
        <v>11921825.908852369</v>
      </c>
      <c r="AD16" s="8">
        <f>AB16/$B$6</f>
        <v>4428.1194179149306</v>
      </c>
      <c r="AE16" s="8">
        <f>AB16/$B$14</f>
        <v>11192.699441431236</v>
      </c>
      <c r="AF16" s="23"/>
      <c r="AI16" s="9">
        <v>1300</v>
      </c>
      <c r="AJ16" s="8">
        <f>AS9</f>
        <v>208709987.95636362</v>
      </c>
      <c r="AR16" s="14">
        <f>AL9</f>
        <v>3.7039473684210527</v>
      </c>
      <c r="AS16" s="8">
        <f>AS9</f>
        <v>208709987.95636362</v>
      </c>
    </row>
    <row r="17" spans="1:45" x14ac:dyDescent="0.25">
      <c r="A17" t="s">
        <v>24</v>
      </c>
      <c r="B17" s="31">
        <v>25</v>
      </c>
      <c r="C17" s="37">
        <f>B18/B17</f>
        <v>539.04</v>
      </c>
      <c r="D17" s="36" t="s">
        <v>26</v>
      </c>
      <c r="N17" s="24" t="s">
        <v>39</v>
      </c>
      <c r="O17" s="13">
        <v>122</v>
      </c>
      <c r="P17" s="13">
        <v>400</v>
      </c>
      <c r="Q17" s="13">
        <v>33</v>
      </c>
      <c r="R17" s="13"/>
      <c r="S17" s="13"/>
      <c r="T17" s="13"/>
      <c r="U17" s="13"/>
      <c r="V17" s="10">
        <f>V10</f>
        <v>0.52681818181818185</v>
      </c>
      <c r="W17" s="10">
        <f>V17/5280*3600</f>
        <v>0.35919421487603309</v>
      </c>
      <c r="X17" s="8">
        <f>P17*Q17*V17</f>
        <v>6954</v>
      </c>
      <c r="Y17" s="8">
        <f>X17*62.4</f>
        <v>433929.6</v>
      </c>
      <c r="Z17" s="8">
        <f>Y17/550</f>
        <v>788.96290909090908</v>
      </c>
      <c r="AA17" s="8">
        <f>Z17*746/1000</f>
        <v>588.56633018181822</v>
      </c>
      <c r="AB17" s="8">
        <f>AA17*365*24</f>
        <v>5155841.0523927277</v>
      </c>
      <c r="AC17" s="49">
        <f>AB17*$B$10</f>
        <v>1273492.7399410037</v>
      </c>
      <c r="AD17" s="8">
        <f>AB17/$B$6</f>
        <v>473.01294058648875</v>
      </c>
      <c r="AE17" s="8">
        <f>AB17/$B$14</f>
        <v>1195.6072490892902</v>
      </c>
      <c r="AF17" s="23"/>
      <c r="AI17" s="9">
        <v>400</v>
      </c>
      <c r="AJ17" s="8">
        <f>AS10</f>
        <v>2577920.5261963638</v>
      </c>
      <c r="AR17" s="14">
        <f>AL10</f>
        <v>0.52681818181818185</v>
      </c>
      <c r="AS17" s="8">
        <f>AS10</f>
        <v>2577920.5261963638</v>
      </c>
    </row>
    <row r="18" spans="1:45" x14ac:dyDescent="0.25">
      <c r="A18" t="s">
        <v>30</v>
      </c>
      <c r="B18" s="21">
        <v>13476</v>
      </c>
      <c r="C18" s="39">
        <f>C17*B16</f>
        <v>1595.5583999999999</v>
      </c>
      <c r="D18" s="40" t="s">
        <v>27</v>
      </c>
      <c r="V18" s="41"/>
      <c r="W18" s="41" t="s">
        <v>49</v>
      </c>
      <c r="X18" s="51">
        <f t="shared" ref="X18:AE18" si="2">SUM(X14:X17)</f>
        <v>137154.00000000006</v>
      </c>
      <c r="Y18" s="51">
        <f t="shared" si="2"/>
        <v>8558409.6000000034</v>
      </c>
      <c r="Z18" s="51">
        <f t="shared" si="2"/>
        <v>15560.744727272735</v>
      </c>
      <c r="AA18" s="51">
        <f t="shared" si="2"/>
        <v>11608.31556654546</v>
      </c>
      <c r="AB18" s="51">
        <f t="shared" si="2"/>
        <v>101688844.36293821</v>
      </c>
      <c r="AC18" s="57">
        <f t="shared" si="2"/>
        <v>25117144.557645742</v>
      </c>
      <c r="AD18" s="51">
        <f t="shared" si="2"/>
        <v>9329.2517764163495</v>
      </c>
      <c r="AE18" s="51">
        <f t="shared" si="2"/>
        <v>23581.006131951763</v>
      </c>
      <c r="AF18" s="42"/>
    </row>
    <row r="19" spans="1:45" x14ac:dyDescent="0.25">
      <c r="A19" t="s">
        <v>31</v>
      </c>
      <c r="B19" s="30">
        <f>C18-B15</f>
        <v>530.41535999999996</v>
      </c>
      <c r="N19" s="16" t="s">
        <v>77</v>
      </c>
      <c r="AC19" s="13"/>
      <c r="AI19" s="24" t="s">
        <v>88</v>
      </c>
      <c r="AJ19" s="60">
        <f>CORREL(AI14:AI17,AJ14:AJ17)</f>
        <v>0.74040494655502731</v>
      </c>
      <c r="AR19" s="24" t="s">
        <v>89</v>
      </c>
      <c r="AS19" s="60">
        <f>CORREL(AR14:AR17,AS14:AS17)</f>
        <v>0.98202725356989451</v>
      </c>
    </row>
    <row r="20" spans="1:45" x14ac:dyDescent="0.25">
      <c r="N20" s="41" t="s">
        <v>35</v>
      </c>
      <c r="O20" s="41" t="s">
        <v>40</v>
      </c>
      <c r="P20" s="41" t="s">
        <v>41</v>
      </c>
      <c r="Q20" s="41" t="s">
        <v>42</v>
      </c>
      <c r="R20" s="41"/>
      <c r="S20" s="41"/>
      <c r="T20" s="41"/>
      <c r="U20" s="41"/>
      <c r="V20" s="41" t="s">
        <v>50</v>
      </c>
      <c r="W20" s="41" t="s">
        <v>71</v>
      </c>
      <c r="X20" s="41" t="s">
        <v>51</v>
      </c>
      <c r="Y20" s="41" t="s">
        <v>56</v>
      </c>
      <c r="Z20" s="41" t="s">
        <v>57</v>
      </c>
      <c r="AA20" s="41" t="s">
        <v>58</v>
      </c>
      <c r="AB20" s="41" t="s">
        <v>43</v>
      </c>
      <c r="AC20" s="41" t="s">
        <v>47</v>
      </c>
      <c r="AD20" s="41" t="s">
        <v>44</v>
      </c>
      <c r="AE20" s="41" t="s">
        <v>45</v>
      </c>
      <c r="AF20" s="41"/>
    </row>
    <row r="21" spans="1:45" x14ac:dyDescent="0.25">
      <c r="A21" s="5" t="s">
        <v>4</v>
      </c>
      <c r="B21" s="13" t="s">
        <v>9</v>
      </c>
      <c r="C21" s="13" t="s">
        <v>18</v>
      </c>
      <c r="N21" s="24" t="s">
        <v>36</v>
      </c>
      <c r="O21" s="13">
        <v>325</v>
      </c>
      <c r="P21" s="22">
        <v>1800</v>
      </c>
      <c r="Q21" s="13">
        <v>16.5</v>
      </c>
      <c r="R21" s="13"/>
      <c r="S21" s="13"/>
      <c r="T21" s="13"/>
      <c r="U21" s="13"/>
      <c r="V21" s="10">
        <f>V14</f>
        <v>1.3400673400673411</v>
      </c>
      <c r="W21" s="10">
        <f>V21/5280*3600</f>
        <v>0.9136822773186416</v>
      </c>
      <c r="X21" s="8">
        <f>P21*Q21*V21</f>
        <v>39800.000000000029</v>
      </c>
      <c r="Y21" s="8">
        <f>X21*62.4</f>
        <v>2483520.0000000019</v>
      </c>
      <c r="Z21" s="8">
        <f>Y21/550</f>
        <v>4515.4909090909123</v>
      </c>
      <c r="AA21" s="8">
        <f>Z21*746/1000</f>
        <v>3368.5562181818204</v>
      </c>
      <c r="AB21" s="8">
        <f>AA21*365*24</f>
        <v>29508552.471272744</v>
      </c>
      <c r="AC21" s="49">
        <f>AB21*$B$10</f>
        <v>7288612.4604043681</v>
      </c>
      <c r="AD21" s="8">
        <f>AB21/$B$6</f>
        <v>2707.2066487406187</v>
      </c>
      <c r="AE21" s="8">
        <f>AB21/$B$14</f>
        <v>6842.8485064356883</v>
      </c>
      <c r="AF21" s="23"/>
    </row>
    <row r="22" spans="1:45" x14ac:dyDescent="0.25">
      <c r="A22" t="s">
        <v>10</v>
      </c>
      <c r="B22" s="6">
        <v>100</v>
      </c>
      <c r="C22" s="14">
        <f>B22/3.281</f>
        <v>30.478512648582747</v>
      </c>
      <c r="N22" s="24" t="s">
        <v>37</v>
      </c>
      <c r="O22" s="13">
        <v>128</v>
      </c>
      <c r="P22" s="22">
        <v>2000</v>
      </c>
      <c r="Q22" s="13">
        <v>16.5</v>
      </c>
      <c r="R22" s="13"/>
      <c r="S22" s="13"/>
      <c r="T22" s="13"/>
      <c r="U22" s="13"/>
      <c r="V22" s="10">
        <f>V15</f>
        <v>0.76666666666666661</v>
      </c>
      <c r="W22" s="10">
        <f>V22/5280*3600</f>
        <v>0.52272727272727271</v>
      </c>
      <c r="X22" s="8">
        <f>P22*Q22*V22</f>
        <v>25299.999999999996</v>
      </c>
      <c r="Y22" s="8">
        <f>X22*62.4</f>
        <v>1578719.9999999998</v>
      </c>
      <c r="Z22" s="8">
        <f>Y22/550</f>
        <v>2870.3999999999996</v>
      </c>
      <c r="AA22" s="8">
        <f>Z22*746/1000</f>
        <v>2141.3184000000001</v>
      </c>
      <c r="AB22" s="8">
        <f>AA22*365*24</f>
        <v>18757949.184</v>
      </c>
      <c r="AC22" s="49">
        <f>AB22*$B$10</f>
        <v>4633213.4484480005</v>
      </c>
      <c r="AD22" s="8">
        <f>AB22/$B$6</f>
        <v>1720.912769174312</v>
      </c>
      <c r="AE22" s="8">
        <f>AB22/$B$14</f>
        <v>4349.8509349955484</v>
      </c>
      <c r="AF22" s="23"/>
    </row>
    <row r="23" spans="1:45" x14ac:dyDescent="0.25">
      <c r="A23" t="s">
        <v>11</v>
      </c>
      <c r="B23" s="7">
        <v>16.5</v>
      </c>
      <c r="C23" s="14">
        <f t="shared" ref="C23:C24" si="3">B23/3.281</f>
        <v>5.0289545870161536</v>
      </c>
      <c r="E23" s="22"/>
      <c r="N23" s="24" t="s">
        <v>38</v>
      </c>
      <c r="O23" s="13">
        <v>981</v>
      </c>
      <c r="P23" s="22">
        <v>2600</v>
      </c>
      <c r="Q23" s="13">
        <v>16.5</v>
      </c>
      <c r="R23" s="13"/>
      <c r="S23" s="13"/>
      <c r="T23" s="13"/>
      <c r="U23" s="13"/>
      <c r="V23" s="10">
        <f>V16</f>
        <v>1.5174825174825182</v>
      </c>
      <c r="W23" s="10">
        <f>V23/5280*3600</f>
        <v>1.0346471710108078</v>
      </c>
      <c r="X23" s="8">
        <f>SUM(X21,X22)</f>
        <v>65100.000000000029</v>
      </c>
      <c r="Y23" s="8">
        <f>X23*62.4</f>
        <v>4062240.0000000019</v>
      </c>
      <c r="Z23" s="8">
        <f>Y23/550</f>
        <v>7385.8909090909128</v>
      </c>
      <c r="AA23" s="8">
        <f>Z23*746/1000</f>
        <v>5509.8746181818206</v>
      </c>
      <c r="AB23" s="8">
        <f>AA23*365*24</f>
        <v>48266501.655272745</v>
      </c>
      <c r="AC23" s="49">
        <f>AB23*$B$10</f>
        <v>11921825.908852369</v>
      </c>
      <c r="AD23" s="8">
        <f>AB23/$B$6</f>
        <v>4428.1194179149306</v>
      </c>
      <c r="AE23" s="8">
        <f>AB23/$B$14</f>
        <v>11192.699441431236</v>
      </c>
      <c r="AF23" s="23"/>
    </row>
    <row r="24" spans="1:45" x14ac:dyDescent="0.25">
      <c r="A24" t="s">
        <v>12</v>
      </c>
      <c r="B24" s="7">
        <v>11.7</v>
      </c>
      <c r="C24" s="26">
        <f t="shared" si="3"/>
        <v>3.5659859798841813</v>
      </c>
      <c r="E24" s="13"/>
      <c r="N24" s="24" t="s">
        <v>39</v>
      </c>
      <c r="O24" s="13">
        <v>122</v>
      </c>
      <c r="P24" s="13">
        <v>800</v>
      </c>
      <c r="Q24" s="13">
        <v>16.5</v>
      </c>
      <c r="R24" s="13"/>
      <c r="S24" s="13"/>
      <c r="T24" s="13"/>
      <c r="U24" s="13"/>
      <c r="V24" s="10">
        <f>V17</f>
        <v>0.52681818181818185</v>
      </c>
      <c r="W24" s="10">
        <f>V24/5280*3600</f>
        <v>0.35919421487603309</v>
      </c>
      <c r="X24" s="8">
        <f>P24*Q24*V24</f>
        <v>6954</v>
      </c>
      <c r="Y24" s="8">
        <f>X24*62.4</f>
        <v>433929.6</v>
      </c>
      <c r="Z24" s="8">
        <f>Y24/550</f>
        <v>788.96290909090908</v>
      </c>
      <c r="AA24" s="8">
        <f>Z24*746/1000</f>
        <v>588.56633018181822</v>
      </c>
      <c r="AB24" s="8">
        <f>AA24*365*24</f>
        <v>5155841.0523927277</v>
      </c>
      <c r="AC24" s="49">
        <f>AB24*$B$10</f>
        <v>1273492.7399410037</v>
      </c>
      <c r="AD24" s="8">
        <f>AB24/$B$6</f>
        <v>473.01294058648875</v>
      </c>
      <c r="AE24" s="8">
        <f>AB24/$B$14</f>
        <v>1195.6072490892902</v>
      </c>
      <c r="AF24" s="23"/>
    </row>
    <row r="25" spans="1:45" x14ac:dyDescent="0.25">
      <c r="A25" t="s">
        <v>14</v>
      </c>
      <c r="B25" s="9">
        <f>60*B24</f>
        <v>702</v>
      </c>
      <c r="C25" s="11">
        <f>60*C24</f>
        <v>213.95915879305088</v>
      </c>
      <c r="E25" s="13"/>
      <c r="F25" s="15"/>
      <c r="V25" s="41"/>
      <c r="W25" s="41" t="s">
        <v>49</v>
      </c>
      <c r="X25" s="51">
        <f t="shared" ref="X25:AE25" si="4">SUM(X21:X24)</f>
        <v>137154.00000000006</v>
      </c>
      <c r="Y25" s="51">
        <f t="shared" si="4"/>
        <v>8558409.6000000034</v>
      </c>
      <c r="Z25" s="51">
        <f t="shared" si="4"/>
        <v>15560.744727272735</v>
      </c>
      <c r="AA25" s="51">
        <f t="shared" si="4"/>
        <v>11608.31556654546</v>
      </c>
      <c r="AB25" s="51">
        <f t="shared" si="4"/>
        <v>101688844.36293821</v>
      </c>
      <c r="AC25" s="57">
        <f t="shared" si="4"/>
        <v>25117144.557645742</v>
      </c>
      <c r="AD25" s="51">
        <f t="shared" si="4"/>
        <v>9329.2517764163495</v>
      </c>
      <c r="AE25" s="51">
        <f t="shared" si="4"/>
        <v>23581.006131951763</v>
      </c>
      <c r="AF25" s="42"/>
    </row>
    <row r="26" spans="1:45" x14ac:dyDescent="0.25">
      <c r="A26" t="s">
        <v>13</v>
      </c>
      <c r="B26" s="10">
        <f>B25*60/5280</f>
        <v>7.9772727272727275</v>
      </c>
      <c r="C26" s="14">
        <f>B26*1.61</f>
        <v>12.843409090909091</v>
      </c>
    </row>
    <row r="27" spans="1:45" x14ac:dyDescent="0.25">
      <c r="A27" t="s">
        <v>72</v>
      </c>
      <c r="B27" s="8">
        <f>B22*B23*B24</f>
        <v>19305</v>
      </c>
      <c r="D27" s="24"/>
      <c r="E27" s="23"/>
      <c r="N27" s="16" t="s">
        <v>78</v>
      </c>
    </row>
    <row r="28" spans="1:45" x14ac:dyDescent="0.25">
      <c r="A28" t="s">
        <v>73</v>
      </c>
      <c r="B28" s="8">
        <f>B27*62.4</f>
        <v>1204632</v>
      </c>
      <c r="D28" s="25"/>
      <c r="E28" s="13"/>
      <c r="N28" s="41" t="s">
        <v>35</v>
      </c>
      <c r="O28" s="41" t="s">
        <v>40</v>
      </c>
      <c r="P28" s="41" t="s">
        <v>41</v>
      </c>
      <c r="Q28" s="41" t="s">
        <v>42</v>
      </c>
      <c r="R28" s="41"/>
      <c r="S28" s="41"/>
      <c r="T28" s="41"/>
      <c r="U28" s="41"/>
      <c r="V28" s="41" t="s">
        <v>50</v>
      </c>
      <c r="W28" s="41" t="s">
        <v>71</v>
      </c>
      <c r="X28" s="41" t="s">
        <v>51</v>
      </c>
      <c r="Y28" s="41" t="s">
        <v>56</v>
      </c>
      <c r="Z28" s="41" t="s">
        <v>57</v>
      </c>
      <c r="AA28" s="41" t="s">
        <v>58</v>
      </c>
      <c r="AB28" s="41" t="s">
        <v>43</v>
      </c>
      <c r="AC28" s="41" t="s">
        <v>47</v>
      </c>
      <c r="AD28" s="41" t="s">
        <v>44</v>
      </c>
      <c r="AE28" s="41" t="s">
        <v>45</v>
      </c>
    </row>
    <row r="29" spans="1:45" x14ac:dyDescent="0.25">
      <c r="A29" t="s">
        <v>5</v>
      </c>
      <c r="B29" s="8">
        <f>B28/550</f>
        <v>2190.2399999999998</v>
      </c>
      <c r="D29" s="28"/>
      <c r="E29" s="15"/>
      <c r="N29" s="24" t="s">
        <v>36</v>
      </c>
      <c r="O29" s="13">
        <v>325</v>
      </c>
      <c r="P29" s="13">
        <v>900</v>
      </c>
      <c r="Q29" s="13">
        <v>16.5</v>
      </c>
      <c r="R29" s="13"/>
      <c r="S29" s="13"/>
      <c r="T29" s="13"/>
      <c r="U29" s="13"/>
      <c r="V29" s="10">
        <f>V7*2</f>
        <v>2.6801346801346821</v>
      </c>
      <c r="W29" s="10">
        <f>V29/5280*3600</f>
        <v>1.8273645546372832</v>
      </c>
      <c r="X29" s="8">
        <f>P29*Q29*V29</f>
        <v>39800.000000000029</v>
      </c>
      <c r="Y29" s="8">
        <f>X29*62.4</f>
        <v>2483520.0000000019</v>
      </c>
      <c r="Z29" s="8">
        <f>Y29/550</f>
        <v>4515.4909090909123</v>
      </c>
      <c r="AA29" s="8">
        <f>Z29*746/1000</f>
        <v>3368.5562181818204</v>
      </c>
      <c r="AB29" s="8">
        <f>AA29*365*24</f>
        <v>29508552.471272744</v>
      </c>
      <c r="AC29" s="49">
        <f>AB29*$B$10</f>
        <v>7288612.4604043681</v>
      </c>
      <c r="AD29" s="8">
        <f>AB29/$B$6</f>
        <v>2707.2066487406187</v>
      </c>
      <c r="AE29" s="8">
        <f>AB29/$B$14</f>
        <v>6842.8485064356883</v>
      </c>
    </row>
    <row r="30" spans="1:45" x14ac:dyDescent="0.25">
      <c r="A30" t="s">
        <v>6</v>
      </c>
      <c r="C30" s="8">
        <f>B29*746/1000</f>
        <v>1633.9190399999998</v>
      </c>
      <c r="D30" s="27"/>
      <c r="E30" s="13"/>
      <c r="N30" s="24" t="s">
        <v>37</v>
      </c>
      <c r="O30" s="13">
        <v>128</v>
      </c>
      <c r="P30" s="13">
        <v>1000</v>
      </c>
      <c r="Q30" s="13">
        <v>16.5</v>
      </c>
      <c r="R30" s="13"/>
      <c r="S30" s="13"/>
      <c r="T30" s="13"/>
      <c r="U30" s="13"/>
      <c r="V30" s="10">
        <f>V8*2</f>
        <v>1.5333333333333332</v>
      </c>
      <c r="W30" s="10">
        <f>V30/5280*3600</f>
        <v>1.0454545454545454</v>
      </c>
      <c r="X30" s="8">
        <f>P30*Q30*V30</f>
        <v>25299.999999999996</v>
      </c>
      <c r="Y30" s="8">
        <f>X30*62.4</f>
        <v>1578719.9999999998</v>
      </c>
      <c r="Z30" s="8">
        <f>Y30/550</f>
        <v>2870.3999999999996</v>
      </c>
      <c r="AA30" s="8">
        <f>Z30*746/1000</f>
        <v>2141.3184000000001</v>
      </c>
      <c r="AB30" s="8">
        <f>AA30*365*24</f>
        <v>18757949.184</v>
      </c>
      <c r="AC30" s="49">
        <f>AB30*$B$10</f>
        <v>4633213.4484480005</v>
      </c>
      <c r="AD30" s="8">
        <f>AB30/$B$6</f>
        <v>1720.912769174312</v>
      </c>
      <c r="AE30" s="8">
        <f>AB30/$B$14</f>
        <v>4349.8509349955484</v>
      </c>
    </row>
    <row r="31" spans="1:45" x14ac:dyDescent="0.25">
      <c r="A31" t="s">
        <v>7</v>
      </c>
      <c r="C31" s="8">
        <f>C30*365*24</f>
        <v>14313130.790399998</v>
      </c>
      <c r="D31" s="15"/>
      <c r="E31" s="13"/>
      <c r="N31" s="24" t="s">
        <v>38</v>
      </c>
      <c r="O31" s="13">
        <v>981</v>
      </c>
      <c r="P31" s="13">
        <v>1300</v>
      </c>
      <c r="Q31" s="13">
        <v>16.5</v>
      </c>
      <c r="R31" s="13"/>
      <c r="S31" s="13"/>
      <c r="T31" s="13"/>
      <c r="U31" s="13"/>
      <c r="V31" s="10">
        <f>V9*2</f>
        <v>3.0349650349650363</v>
      </c>
      <c r="W31" s="10">
        <f>V31/5280*3600</f>
        <v>2.0692943420216157</v>
      </c>
      <c r="X31" s="8">
        <f>SUM(X29,X30)</f>
        <v>65100.000000000029</v>
      </c>
      <c r="Y31" s="8">
        <f>X31*62.4</f>
        <v>4062240.0000000019</v>
      </c>
      <c r="Z31" s="8">
        <f>Y31/550</f>
        <v>7385.8909090909128</v>
      </c>
      <c r="AA31" s="8">
        <f>Z31*746/1000</f>
        <v>5509.8746181818206</v>
      </c>
      <c r="AB31" s="8">
        <f>AA31*365*24</f>
        <v>48266501.655272745</v>
      </c>
      <c r="AC31" s="49">
        <f>AB31*$B$10</f>
        <v>11921825.908852369</v>
      </c>
      <c r="AD31" s="8">
        <f>AB31/$B$6</f>
        <v>4428.1194179149306</v>
      </c>
      <c r="AE31" s="8">
        <f>AB31/$B$14</f>
        <v>11192.699441431236</v>
      </c>
    </row>
    <row r="32" spans="1:45" x14ac:dyDescent="0.25">
      <c r="A32" s="15" t="s">
        <v>33</v>
      </c>
      <c r="B32" s="30">
        <f>B10*C31</f>
        <v>3535343.3052287996</v>
      </c>
      <c r="C32" s="32" t="s">
        <v>74</v>
      </c>
      <c r="D32" s="15"/>
      <c r="N32" s="24" t="s">
        <v>39</v>
      </c>
      <c r="O32" s="13">
        <v>122</v>
      </c>
      <c r="P32" s="13">
        <v>400</v>
      </c>
      <c r="Q32" s="13">
        <v>16.5</v>
      </c>
      <c r="R32" s="13"/>
      <c r="S32" s="13"/>
      <c r="T32" s="13"/>
      <c r="U32" s="13"/>
      <c r="V32" s="10">
        <f>V10*2</f>
        <v>1.0536363636363637</v>
      </c>
      <c r="W32" s="10">
        <f>V32/5280*3600</f>
        <v>0.71838842975206618</v>
      </c>
      <c r="X32" s="8">
        <f>P32*Q32*V32</f>
        <v>6954</v>
      </c>
      <c r="Y32" s="8">
        <f>X32*62.4</f>
        <v>433929.6</v>
      </c>
      <c r="Z32" s="8">
        <f>Y32/550</f>
        <v>788.96290909090908</v>
      </c>
      <c r="AA32" s="8">
        <f>Z32*746/1000</f>
        <v>588.56633018181822</v>
      </c>
      <c r="AB32" s="8">
        <f>AA32*365*24</f>
        <v>5155841.0523927277</v>
      </c>
      <c r="AC32" s="49">
        <f>AB32*$B$10</f>
        <v>1273492.7399410037</v>
      </c>
      <c r="AD32" s="8">
        <f>AB32/$B$6</f>
        <v>473.01294058648875</v>
      </c>
      <c r="AE32" s="8">
        <f>AB32/$B$14</f>
        <v>1195.6072490892902</v>
      </c>
    </row>
    <row r="33" spans="1:31" x14ac:dyDescent="0.25">
      <c r="A33" t="s">
        <v>8</v>
      </c>
      <c r="B33" s="8">
        <f>C31/B6</f>
        <v>1313.1312651743117</v>
      </c>
      <c r="D33" s="15"/>
      <c r="V33" s="41"/>
      <c r="W33" s="41" t="s">
        <v>49</v>
      </c>
      <c r="X33" s="51">
        <f t="shared" ref="X33:AE33" si="5">SUM(X29:X32)</f>
        <v>137154.00000000006</v>
      </c>
      <c r="Y33" s="51">
        <f t="shared" si="5"/>
        <v>8558409.6000000034</v>
      </c>
      <c r="Z33" s="51">
        <f t="shared" si="5"/>
        <v>15560.744727272735</v>
      </c>
      <c r="AA33" s="51">
        <f t="shared" si="5"/>
        <v>11608.31556654546</v>
      </c>
      <c r="AB33" s="51">
        <f t="shared" si="5"/>
        <v>101688844.36293821</v>
      </c>
      <c r="AC33" s="57">
        <f t="shared" si="5"/>
        <v>25117144.557645742</v>
      </c>
      <c r="AD33" s="51">
        <f t="shared" si="5"/>
        <v>9329.2517764163495</v>
      </c>
      <c r="AE33" s="51">
        <f t="shared" si="5"/>
        <v>23581.006131951763</v>
      </c>
    </row>
    <row r="34" spans="1:31" x14ac:dyDescent="0.25">
      <c r="A34" t="s">
        <v>17</v>
      </c>
      <c r="B34" s="8">
        <f>C31/B14</f>
        <v>3319.1253873552982</v>
      </c>
      <c r="D34" s="15"/>
    </row>
    <row r="35" spans="1:31" x14ac:dyDescent="0.25">
      <c r="P35" s="24" t="s">
        <v>97</v>
      </c>
      <c r="Q35" s="60">
        <f>CORREL(R7:R10,AB7:AB10)</f>
        <v>0.86019012022154095</v>
      </c>
    </row>
    <row r="36" spans="1:31" ht="18.75" x14ac:dyDescent="0.3">
      <c r="D36" s="15"/>
      <c r="P36" s="24" t="s">
        <v>87</v>
      </c>
      <c r="Q36" s="60">
        <f>CORREL(U7:U10,V7:V10)</f>
        <v>0.7794875213842567</v>
      </c>
      <c r="W36" s="81" t="s">
        <v>92</v>
      </c>
    </row>
    <row r="37" spans="1:31" x14ac:dyDescent="0.25">
      <c r="P37" s="24" t="s">
        <v>90</v>
      </c>
      <c r="Q37" s="60">
        <f>CORREL(O7:O10,P7:P10)</f>
        <v>0.75567652967875665</v>
      </c>
      <c r="W37" s="41" t="s">
        <v>149</v>
      </c>
    </row>
    <row r="38" spans="1:31" ht="30" x14ac:dyDescent="0.25">
      <c r="P38" s="24" t="s">
        <v>91</v>
      </c>
      <c r="Q38" s="10">
        <f>CORREL(O7:O10,S7:S10)</f>
        <v>-0.40370355577752598</v>
      </c>
      <c r="W38" s="80" t="s">
        <v>61</v>
      </c>
      <c r="X38" s="5"/>
    </row>
    <row r="39" spans="1:31" ht="18" customHeight="1" x14ac:dyDescent="0.25">
      <c r="P39" s="24"/>
      <c r="V39" s="47" t="s">
        <v>60</v>
      </c>
      <c r="W39" s="42">
        <f>AB10</f>
        <v>2577920.5261963638</v>
      </c>
      <c r="X39" s="16" t="s">
        <v>150</v>
      </c>
    </row>
    <row r="40" spans="1:31" ht="21" x14ac:dyDescent="0.35">
      <c r="A40" s="71" t="s">
        <v>127</v>
      </c>
      <c r="B40" s="70"/>
      <c r="C40" s="72" t="s">
        <v>145</v>
      </c>
      <c r="D40" s="70"/>
      <c r="E40" s="70"/>
      <c r="F40" s="70"/>
      <c r="G40" s="70"/>
      <c r="H40" s="70"/>
      <c r="I40" s="70" t="s">
        <v>146</v>
      </c>
      <c r="J40" s="70"/>
      <c r="K40" s="70"/>
      <c r="L40" s="70"/>
      <c r="M40" s="70"/>
      <c r="N40" s="70"/>
      <c r="O40" s="69"/>
      <c r="P40" s="70"/>
      <c r="V40" s="24" t="s">
        <v>79</v>
      </c>
      <c r="W40" s="22">
        <f>AB17-AB10</f>
        <v>2577920.5261963638</v>
      </c>
      <c r="X40" s="45">
        <f>W40/W39</f>
        <v>1</v>
      </c>
      <c r="Y40" t="s">
        <v>93</v>
      </c>
    </row>
    <row r="41" spans="1:31" x14ac:dyDescent="0.25">
      <c r="V41" s="24" t="s">
        <v>80</v>
      </c>
      <c r="W41" s="22">
        <f>AB24-AB10</f>
        <v>2577920.5261963638</v>
      </c>
      <c r="X41" s="43">
        <f>W41/W39</f>
        <v>1</v>
      </c>
      <c r="Y41" t="s">
        <v>94</v>
      </c>
    </row>
    <row r="42" spans="1:31" x14ac:dyDescent="0.25">
      <c r="A42" s="3" t="s">
        <v>98</v>
      </c>
      <c r="B42" s="4"/>
      <c r="C42" s="62"/>
      <c r="D42" s="62" t="s">
        <v>105</v>
      </c>
      <c r="E42" s="62"/>
      <c r="F42" s="62"/>
      <c r="G42" s="62"/>
      <c r="V42" s="24" t="s">
        <v>81</v>
      </c>
      <c r="W42" s="22">
        <f>AC32-AC10</f>
        <v>636746.36997050187</v>
      </c>
      <c r="X42" s="43">
        <f>W42/W40</f>
        <v>0.247</v>
      </c>
      <c r="Y42" t="s">
        <v>95</v>
      </c>
    </row>
    <row r="43" spans="1:31" x14ac:dyDescent="0.25">
      <c r="B43" s="13" t="s">
        <v>41</v>
      </c>
      <c r="C43" s="13" t="s">
        <v>42</v>
      </c>
      <c r="D43" s="13" t="s">
        <v>100</v>
      </c>
      <c r="E43" s="13" t="s">
        <v>50</v>
      </c>
      <c r="F43" s="13" t="s">
        <v>51</v>
      </c>
      <c r="G43" s="13" t="s">
        <v>99</v>
      </c>
    </row>
    <row r="44" spans="1:31" x14ac:dyDescent="0.25">
      <c r="B44" s="7">
        <v>900</v>
      </c>
      <c r="C44" s="7">
        <v>16.5</v>
      </c>
      <c r="D44" s="8">
        <f>B44*C44</f>
        <v>14850</v>
      </c>
      <c r="E44" s="7">
        <v>1.3</v>
      </c>
      <c r="F44" s="6">
        <v>19900</v>
      </c>
      <c r="G44" s="8">
        <f>0.5*62.4*POWER(E44,2)</f>
        <v>52.728000000000002</v>
      </c>
    </row>
    <row r="46" spans="1:31" x14ac:dyDescent="0.25">
      <c r="B46" s="62"/>
      <c r="C46" s="62"/>
      <c r="D46" s="62" t="s">
        <v>106</v>
      </c>
      <c r="E46" s="4"/>
      <c r="F46" s="4"/>
      <c r="G46" s="63" t="s">
        <v>107</v>
      </c>
      <c r="H46" s="4"/>
      <c r="I46" s="4"/>
      <c r="J46" s="4"/>
      <c r="K46" s="4"/>
    </row>
    <row r="47" spans="1:31" x14ac:dyDescent="0.25">
      <c r="B47" s="13" t="s">
        <v>41</v>
      </c>
      <c r="C47" s="13" t="s">
        <v>42</v>
      </c>
      <c r="D47" s="13" t="s">
        <v>100</v>
      </c>
      <c r="E47" s="13" t="s">
        <v>50</v>
      </c>
      <c r="F47" s="13" t="s">
        <v>51</v>
      </c>
      <c r="G47" s="13" t="s">
        <v>99</v>
      </c>
      <c r="H47" s="13" t="s">
        <v>103</v>
      </c>
      <c r="I47" s="13" t="s">
        <v>104</v>
      </c>
      <c r="J47" s="13" t="s">
        <v>101</v>
      </c>
      <c r="K47" s="41" t="s">
        <v>102</v>
      </c>
    </row>
    <row r="48" spans="1:31" x14ac:dyDescent="0.25">
      <c r="B48" s="7">
        <v>100</v>
      </c>
      <c r="C48" s="7">
        <v>16.5</v>
      </c>
      <c r="D48" s="8">
        <f>B48*C48</f>
        <v>1650</v>
      </c>
      <c r="E48" s="9">
        <f>B44/B48*E44</f>
        <v>11.700000000000001</v>
      </c>
      <c r="F48" s="8">
        <f>F44*B44/B48</f>
        <v>179100</v>
      </c>
      <c r="G48" s="8">
        <f>0.5*62.4*POWER(E48,2)</f>
        <v>4270.9680000000008</v>
      </c>
      <c r="H48" s="8">
        <f>G48-G44</f>
        <v>4218.2400000000007</v>
      </c>
      <c r="I48" s="61">
        <f>H48/G44</f>
        <v>80.000000000000014</v>
      </c>
      <c r="J48" s="46">
        <f>D48/D44</f>
        <v>0.1111111111111111</v>
      </c>
      <c r="K48" s="73">
        <f>I48*J48</f>
        <v>8.8888888888888893</v>
      </c>
    </row>
    <row r="50" spans="1:11" x14ac:dyDescent="0.25">
      <c r="B50" t="s">
        <v>108</v>
      </c>
    </row>
    <row r="56" spans="1:11" x14ac:dyDescent="0.25">
      <c r="A56" s="3" t="s">
        <v>124</v>
      </c>
      <c r="B56" s="4"/>
      <c r="C56" s="62"/>
      <c r="D56" s="62" t="s">
        <v>105</v>
      </c>
      <c r="E56" s="62"/>
      <c r="F56" s="62"/>
      <c r="G56" s="62"/>
      <c r="H56" s="4"/>
      <c r="I56" s="4"/>
      <c r="J56" s="4"/>
      <c r="K56" s="4"/>
    </row>
    <row r="57" spans="1:11" ht="30" x14ac:dyDescent="0.25">
      <c r="B57" s="13" t="s">
        <v>110</v>
      </c>
      <c r="C57" s="13" t="s">
        <v>111</v>
      </c>
      <c r="D57" t="s">
        <v>114</v>
      </c>
      <c r="E57" t="s">
        <v>116</v>
      </c>
      <c r="F57" s="13" t="s">
        <v>115</v>
      </c>
      <c r="G57" s="13" t="s">
        <v>130</v>
      </c>
      <c r="H57" s="13" t="s">
        <v>131</v>
      </c>
      <c r="I57" s="77" t="s">
        <v>139</v>
      </c>
      <c r="J57" s="13" t="s">
        <v>140</v>
      </c>
      <c r="K57" s="13" t="s">
        <v>141</v>
      </c>
    </row>
    <row r="58" spans="1:11" x14ac:dyDescent="0.25">
      <c r="B58" s="7">
        <v>16.5</v>
      </c>
      <c r="C58" s="7">
        <v>900</v>
      </c>
      <c r="D58" s="7">
        <v>-0.14000000000000001</v>
      </c>
      <c r="E58" s="68">
        <v>1</v>
      </c>
      <c r="F58" s="64">
        <f>TAN(RADIANS(D58))</f>
        <v>-2.4434658156993775E-3</v>
      </c>
      <c r="G58" s="6">
        <v>14754276</v>
      </c>
      <c r="H58" s="74">
        <v>0.25</v>
      </c>
      <c r="I58" s="49">
        <f>G58*H58</f>
        <v>3688569</v>
      </c>
      <c r="J58" s="78">
        <v>0.1</v>
      </c>
      <c r="K58" s="49">
        <f>I58/J58</f>
        <v>36885690</v>
      </c>
    </row>
    <row r="60" spans="1:11" x14ac:dyDescent="0.25">
      <c r="B60" s="4"/>
      <c r="C60" s="62"/>
      <c r="D60" s="62" t="s">
        <v>142</v>
      </c>
      <c r="E60" s="62"/>
      <c r="F60" s="62"/>
      <c r="G60" s="62"/>
      <c r="H60" s="4"/>
      <c r="I60" s="4"/>
      <c r="J60" s="4"/>
      <c r="K60" s="4"/>
    </row>
    <row r="61" spans="1:11" ht="30" x14ac:dyDescent="0.25">
      <c r="B61" s="13" t="s">
        <v>121</v>
      </c>
      <c r="C61" s="13" t="s">
        <v>117</v>
      </c>
      <c r="D61" s="13" t="s">
        <v>118</v>
      </c>
      <c r="E61" s="13" t="s">
        <v>123</v>
      </c>
      <c r="F61" s="13" t="s">
        <v>119</v>
      </c>
      <c r="G61" s="13" t="s">
        <v>120</v>
      </c>
      <c r="H61" s="13" t="s">
        <v>102</v>
      </c>
      <c r="I61" s="13" t="s">
        <v>132</v>
      </c>
      <c r="J61" s="77" t="s">
        <v>138</v>
      </c>
      <c r="K61" s="13" t="s">
        <v>141</v>
      </c>
    </row>
    <row r="62" spans="1:11" x14ac:dyDescent="0.25">
      <c r="B62" s="6">
        <v>1000</v>
      </c>
      <c r="C62" s="7">
        <v>-0.28000000000000003</v>
      </c>
      <c r="D62" s="65">
        <f>TAN(RADIANS(C62))</f>
        <v>-4.8869608091213811E-3</v>
      </c>
      <c r="E62" s="10">
        <f>C62*V11/U11</f>
        <v>2.0071708660227365</v>
      </c>
      <c r="F62" s="11">
        <f>-D62*B62+(F58*B62)</f>
        <v>2.4434949934220032</v>
      </c>
      <c r="G62" s="11">
        <f>B58+F62</f>
        <v>18.943494993422004</v>
      </c>
      <c r="H62" s="61">
        <f>0.5*62.4*POWER(E62,2)/(0.5*62.4*POWER(E58,2))</f>
        <v>4.0287348854104623</v>
      </c>
      <c r="I62" s="75">
        <f>H62*I58</f>
        <v>14860266.607543584</v>
      </c>
      <c r="J62" s="75">
        <f>I62-I58</f>
        <v>11171697.607543584</v>
      </c>
      <c r="K62" s="49">
        <f>J62/J58</f>
        <v>111716976.07543583</v>
      </c>
    </row>
    <row r="64" spans="1:11" x14ac:dyDescent="0.25">
      <c r="B64" s="4"/>
      <c r="C64" s="62"/>
      <c r="D64" s="62" t="s">
        <v>143</v>
      </c>
      <c r="E64" s="62"/>
    </row>
    <row r="65" spans="2:8" ht="30" x14ac:dyDescent="0.25">
      <c r="B65" t="s">
        <v>112</v>
      </c>
      <c r="C65" t="s">
        <v>113</v>
      </c>
      <c r="D65" s="77" t="s">
        <v>129</v>
      </c>
      <c r="E65" s="66" t="s">
        <v>122</v>
      </c>
    </row>
    <row r="66" spans="2:8" x14ac:dyDescent="0.25">
      <c r="B66" s="8">
        <f>0.5*(G62-B58)*B62-(0.5*(F58*B62)*B62)*C58</f>
        <v>1100781.3645614311</v>
      </c>
      <c r="C66" s="8">
        <f>B66/27</f>
        <v>40769.680168941893</v>
      </c>
      <c r="D66" s="67">
        <v>15</v>
      </c>
      <c r="E66" s="76">
        <f>C66*D66</f>
        <v>611545.20253412845</v>
      </c>
    </row>
    <row r="68" spans="2:8" x14ac:dyDescent="0.25">
      <c r="B68" s="4"/>
      <c r="C68" s="62"/>
      <c r="D68" s="62" t="s">
        <v>144</v>
      </c>
      <c r="E68" s="62"/>
      <c r="F68" s="62"/>
      <c r="G68" s="62"/>
      <c r="H68" s="62"/>
    </row>
    <row r="69" spans="2:8" ht="30" x14ac:dyDescent="0.25">
      <c r="B69" s="77" t="s">
        <v>134</v>
      </c>
      <c r="C69" s="13" t="s">
        <v>147</v>
      </c>
      <c r="D69" s="77" t="s">
        <v>133</v>
      </c>
      <c r="E69" t="s">
        <v>135</v>
      </c>
      <c r="F69" t="s">
        <v>136</v>
      </c>
      <c r="G69" t="s">
        <v>137</v>
      </c>
      <c r="H69" s="13" t="s">
        <v>148</v>
      </c>
    </row>
    <row r="70" spans="2:8" x14ac:dyDescent="0.25">
      <c r="B70" s="67">
        <v>6</v>
      </c>
      <c r="C70" s="67">
        <v>35000</v>
      </c>
      <c r="D70" s="49">
        <f>B70*C66+C70</f>
        <v>279618.08101365133</v>
      </c>
      <c r="E70" s="49">
        <f>K62</f>
        <v>111716976.07543583</v>
      </c>
      <c r="F70" s="49">
        <f>E66</f>
        <v>611545.20253412845</v>
      </c>
      <c r="G70" s="49">
        <f>E70+F70-D70</f>
        <v>112048903.19695631</v>
      </c>
      <c r="H70" s="79">
        <f>G70/D70</f>
        <v>400.72123659086958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3F07DF4-4AB4-459C-87AE-25FEEC32F8F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9DCF1AD-BADE-41AE-A9C9-FB9CEB393D3D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Patterson</dc:creator>
  <cp:lastModifiedBy>William Patterson</cp:lastModifiedBy>
  <dcterms:created xsi:type="dcterms:W3CDTF">2019-03-14T15:58:39Z</dcterms:created>
  <dcterms:modified xsi:type="dcterms:W3CDTF">2019-04-14T20:57:34Z</dcterms:modified>
</cp:coreProperties>
</file>