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PGE\Documents\Intercomputer 2018F12\Research - WCP\River Power\"/>
    </mc:Choice>
  </mc:AlternateContent>
  <xr:revisionPtr revIDLastSave="0" documentId="13_ncr:1_{72F1110C-F513-4F40-963D-73B347A894C5}" xr6:coauthVersionLast="43" xr6:coauthVersionMax="43" xr10:uidLastSave="{00000000-0000-0000-0000-000000000000}"/>
  <bookViews>
    <workbookView xWindow="-120" yWindow="-120" windowWidth="29040" windowHeight="15840" xr2:uid="{EE5F632D-2BB4-4CE5-B6EE-5E9D8E190387}"/>
  </bookViews>
  <sheets>
    <sheet name="Sheet1" sheetId="1" r:id="rId1"/>
  </sheets>
  <definedNames>
    <definedName name="_xlcn.WorksheetConnection_Sheet1P27R30" hidden="1">Sheet1!$P$27:$V$30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!$P$27:$R$3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0" i="1" l="1"/>
  <c r="D70" i="1" l="1"/>
  <c r="E70" i="1"/>
  <c r="K62" i="1"/>
  <c r="K58" i="1"/>
  <c r="F70" i="1"/>
  <c r="J62" i="1"/>
  <c r="I62" i="1"/>
  <c r="I58" i="1"/>
  <c r="G70" i="1" l="1"/>
  <c r="G44" i="1"/>
  <c r="G48" i="1"/>
  <c r="H48" i="1" s="1"/>
  <c r="F48" i="1"/>
  <c r="D62" i="1"/>
  <c r="F62" i="1" s="1"/>
  <c r="G62" i="1" s="1"/>
  <c r="B66" i="1" s="1"/>
  <c r="C66" i="1" s="1"/>
  <c r="E66" i="1" s="1"/>
  <c r="F58" i="1"/>
  <c r="T10" i="1"/>
  <c r="U10" i="1" s="1"/>
  <c r="S11" i="1"/>
  <c r="R11" i="1"/>
  <c r="D48" i="1" l="1"/>
  <c r="J48" i="1" s="1"/>
  <c r="D44" i="1"/>
  <c r="E48" i="1"/>
  <c r="B28" i="1"/>
  <c r="B29" i="1" s="1"/>
  <c r="C30" i="1" s="1"/>
  <c r="C31" i="1" s="1"/>
  <c r="B27" i="1"/>
  <c r="I48" i="1" l="1"/>
  <c r="K48" i="1" s="1"/>
  <c r="Q38" i="1"/>
  <c r="Q37" i="1"/>
  <c r="T9" i="1"/>
  <c r="U9" i="1" s="1"/>
  <c r="T7" i="1"/>
  <c r="T8" i="1"/>
  <c r="U8" i="1" s="1"/>
  <c r="U7" i="1" l="1"/>
  <c r="T11" i="1"/>
  <c r="V32" i="1"/>
  <c r="V30" i="1"/>
  <c r="V29" i="1"/>
  <c r="X32" i="1"/>
  <c r="Y32" i="1" s="1"/>
  <c r="Z32" i="1" s="1"/>
  <c r="AA32" i="1" s="1"/>
  <c r="AB32" i="1" s="1"/>
  <c r="X29" i="1"/>
  <c r="Y29" i="1" s="1"/>
  <c r="V24" i="1"/>
  <c r="X24" i="1" s="1"/>
  <c r="Y24" i="1" s="1"/>
  <c r="Z24" i="1" s="1"/>
  <c r="AA24" i="1" s="1"/>
  <c r="AB24" i="1" s="1"/>
  <c r="W41" i="1" s="1"/>
  <c r="X7" i="1"/>
  <c r="Y7" i="1"/>
  <c r="C22" i="1"/>
  <c r="AR16" i="1"/>
  <c r="AR15" i="1"/>
  <c r="V17" i="1"/>
  <c r="W17" i="1" s="1"/>
  <c r="V15" i="1"/>
  <c r="V22" i="1" s="1"/>
  <c r="X22" i="1" s="1"/>
  <c r="V14" i="1"/>
  <c r="V21" i="1" s="1"/>
  <c r="AP7" i="1"/>
  <c r="W10" i="1"/>
  <c r="W8" i="1"/>
  <c r="W7" i="1"/>
  <c r="X10" i="1"/>
  <c r="Y10" i="1" s="1"/>
  <c r="Z10" i="1" s="1"/>
  <c r="AA10" i="1" s="1"/>
  <c r="AB10" i="1" s="1"/>
  <c r="X8" i="1"/>
  <c r="Y8" i="1" s="1"/>
  <c r="Z8" i="1" s="1"/>
  <c r="AA8" i="1" s="1"/>
  <c r="AB8" i="1" s="1"/>
  <c r="AL10" i="1"/>
  <c r="AR17" i="1" s="1"/>
  <c r="AL7" i="1"/>
  <c r="AR14" i="1" s="1"/>
  <c r="AL8" i="1"/>
  <c r="AL9" i="1"/>
  <c r="W21" i="1" l="1"/>
  <c r="X21" i="1"/>
  <c r="W39" i="1"/>
  <c r="AD10" i="1"/>
  <c r="AC10" i="1"/>
  <c r="AC8" i="1"/>
  <c r="AD8" i="1"/>
  <c r="X14" i="1"/>
  <c r="X15" i="1"/>
  <c r="Y15" i="1" s="1"/>
  <c r="Z15" i="1" s="1"/>
  <c r="AA15" i="1" s="1"/>
  <c r="AB15" i="1" s="1"/>
  <c r="AC15" i="1" s="1"/>
  <c r="W14" i="1"/>
  <c r="X17" i="1"/>
  <c r="Y17" i="1" s="1"/>
  <c r="Z17" i="1" s="1"/>
  <c r="AA17" i="1" s="1"/>
  <c r="AB17" i="1" s="1"/>
  <c r="W40" i="1" s="1"/>
  <c r="U11" i="1"/>
  <c r="W32" i="1"/>
  <c r="AC24" i="1"/>
  <c r="AD24" i="1"/>
  <c r="Y22" i="1"/>
  <c r="Z22" i="1" s="1"/>
  <c r="AA22" i="1" s="1"/>
  <c r="AB22" i="1" s="1"/>
  <c r="X23" i="1"/>
  <c r="Y23" i="1" s="1"/>
  <c r="Z23" i="1" s="1"/>
  <c r="AA23" i="1" s="1"/>
  <c r="AB23" i="1" s="1"/>
  <c r="W24" i="1"/>
  <c r="W22" i="1"/>
  <c r="AC32" i="1"/>
  <c r="W42" i="1" s="1"/>
  <c r="AD32" i="1"/>
  <c r="X41" i="1"/>
  <c r="W30" i="1"/>
  <c r="X30" i="1"/>
  <c r="Y30" i="1" s="1"/>
  <c r="Z30" i="1" s="1"/>
  <c r="AA30" i="1" s="1"/>
  <c r="AB30" i="1" s="1"/>
  <c r="X9" i="1"/>
  <c r="X11" i="1" s="1"/>
  <c r="W15" i="1"/>
  <c r="Z7" i="1"/>
  <c r="W29" i="1"/>
  <c r="Z29" i="1"/>
  <c r="X16" i="1"/>
  <c r="Y16" i="1" s="1"/>
  <c r="Z16" i="1" s="1"/>
  <c r="AA16" i="1" s="1"/>
  <c r="AB16" i="1" s="1"/>
  <c r="AP10" i="1"/>
  <c r="AQ10" i="1" s="1"/>
  <c r="AR10" i="1" s="1"/>
  <c r="AS10" i="1" s="1"/>
  <c r="AS17" i="1" s="1"/>
  <c r="AP9" i="1"/>
  <c r="AQ9" i="1" s="1"/>
  <c r="AR9" i="1" s="1"/>
  <c r="AS9" i="1" s="1"/>
  <c r="AS16" i="1" s="1"/>
  <c r="AP8" i="1"/>
  <c r="AQ8" i="1" s="1"/>
  <c r="AR8" i="1" s="1"/>
  <c r="AS8" i="1" s="1"/>
  <c r="AQ7" i="1"/>
  <c r="AM10" i="1"/>
  <c r="AO10" i="1" s="1"/>
  <c r="AM7" i="1"/>
  <c r="AM8" i="1"/>
  <c r="AT8" i="1" l="1"/>
  <c r="AS15" i="1"/>
  <c r="AD15" i="1"/>
  <c r="Y14" i="1"/>
  <c r="Z14" i="1" s="1"/>
  <c r="AA14" i="1" s="1"/>
  <c r="X18" i="1"/>
  <c r="AD17" i="1"/>
  <c r="Y21" i="1"/>
  <c r="Z21" i="1" s="1"/>
  <c r="X25" i="1"/>
  <c r="AC17" i="1"/>
  <c r="AD30" i="1"/>
  <c r="AD16" i="1"/>
  <c r="AC16" i="1"/>
  <c r="AD22" i="1"/>
  <c r="AC22" i="1"/>
  <c r="AD23" i="1"/>
  <c r="AC23" i="1"/>
  <c r="AA21" i="1"/>
  <c r="Z25" i="1"/>
  <c r="Y25" i="1"/>
  <c r="AC30" i="1"/>
  <c r="AT10" i="1"/>
  <c r="AU10" i="1"/>
  <c r="AJ17" i="1"/>
  <c r="AA7" i="1"/>
  <c r="AB7" i="1" s="1"/>
  <c r="V9" i="1"/>
  <c r="Y9" i="1"/>
  <c r="AJ15" i="1"/>
  <c r="X31" i="1"/>
  <c r="AR7" i="1"/>
  <c r="AQ11" i="1"/>
  <c r="AP11" i="1"/>
  <c r="AA29" i="1"/>
  <c r="Z18" i="1"/>
  <c r="AT9" i="1"/>
  <c r="AU9" i="1"/>
  <c r="AJ16" i="1"/>
  <c r="AU8" i="1"/>
  <c r="AO9" i="1"/>
  <c r="V11" i="1" l="1"/>
  <c r="E62" i="1" s="1"/>
  <c r="H62" i="1" s="1"/>
  <c r="V31" i="1"/>
  <c r="Q36" i="1"/>
  <c r="AC7" i="1"/>
  <c r="AD7" i="1"/>
  <c r="Y18" i="1"/>
  <c r="Y31" i="1"/>
  <c r="Z31" i="1" s="1"/>
  <c r="AA31" i="1" s="1"/>
  <c r="AB31" i="1" s="1"/>
  <c r="X33" i="1"/>
  <c r="AA18" i="1"/>
  <c r="AB14" i="1"/>
  <c r="AB21" i="1"/>
  <c r="AA25" i="1"/>
  <c r="AB29" i="1"/>
  <c r="V16" i="1"/>
  <c r="V23" i="1" s="1"/>
  <c r="W23" i="1" s="1"/>
  <c r="W9" i="1"/>
  <c r="AS7" i="1"/>
  <c r="AS14" i="1" s="1"/>
  <c r="AS19" i="1" s="1"/>
  <c r="AR11" i="1"/>
  <c r="Z9" i="1"/>
  <c r="Y11" i="1"/>
  <c r="X40" i="1"/>
  <c r="C17" i="1"/>
  <c r="C18" i="1" s="1"/>
  <c r="C8" i="1"/>
  <c r="C6" i="1"/>
  <c r="Y33" i="1" l="1"/>
  <c r="AC31" i="1"/>
  <c r="AD31" i="1"/>
  <c r="AA33" i="1"/>
  <c r="Z33" i="1"/>
  <c r="AD14" i="1"/>
  <c r="AD18" i="1" s="1"/>
  <c r="AB18" i="1"/>
  <c r="AC14" i="1"/>
  <c r="AC18" i="1" s="1"/>
  <c r="AB25" i="1"/>
  <c r="AD21" i="1"/>
  <c r="AD25" i="1" s="1"/>
  <c r="AC21" i="1"/>
  <c r="AC25" i="1" s="1"/>
  <c r="AC29" i="1"/>
  <c r="AD29" i="1"/>
  <c r="AB33" i="1"/>
  <c r="X42" i="1"/>
  <c r="AU7" i="1"/>
  <c r="AJ14" i="1"/>
  <c r="AJ19" i="1" s="1"/>
  <c r="AS11" i="1"/>
  <c r="AT7" i="1"/>
  <c r="AA9" i="1"/>
  <c r="Z11" i="1"/>
  <c r="W16" i="1"/>
  <c r="W31" i="1"/>
  <c r="B25" i="1"/>
  <c r="AA11" i="1" l="1"/>
  <c r="AB9" i="1"/>
  <c r="AD33" i="1"/>
  <c r="AC33" i="1"/>
  <c r="AT11" i="1"/>
  <c r="AU11" i="1"/>
  <c r="AD9" i="1" l="1"/>
  <c r="AD11" i="1" s="1"/>
  <c r="AC9" i="1"/>
  <c r="AC11" i="1" s="1"/>
  <c r="Q35" i="1"/>
  <c r="AB11" i="1"/>
  <c r="C13" i="1"/>
  <c r="B9" i="1"/>
  <c r="B7" i="1"/>
  <c r="B14" i="1"/>
  <c r="AE8" i="1" l="1"/>
  <c r="AE10" i="1"/>
  <c r="AE32" i="1"/>
  <c r="AE24" i="1"/>
  <c r="AE15" i="1"/>
  <c r="AV8" i="1" s="1"/>
  <c r="AE22" i="1"/>
  <c r="AE17" i="1"/>
  <c r="AV10" i="1" s="1"/>
  <c r="AE16" i="1"/>
  <c r="AE30" i="1"/>
  <c r="AE23" i="1"/>
  <c r="AE7" i="1"/>
  <c r="AE31" i="1"/>
  <c r="AE14" i="1"/>
  <c r="AE29" i="1"/>
  <c r="AE33" i="1" s="1"/>
  <c r="AE21" i="1"/>
  <c r="AE25" i="1" s="1"/>
  <c r="AE9" i="1"/>
  <c r="C14" i="1"/>
  <c r="C15" i="1" s="1"/>
  <c r="B15" i="1"/>
  <c r="B19" i="1" s="1"/>
  <c r="B26" i="1"/>
  <c r="C26" i="1" s="1"/>
  <c r="C24" i="1"/>
  <c r="C23" i="1"/>
  <c r="AE18" i="1" l="1"/>
  <c r="AE11" i="1"/>
  <c r="AV7" i="1"/>
  <c r="AV11" i="1"/>
  <c r="AV9" i="1"/>
  <c r="C25" i="1"/>
  <c r="B34" i="1" l="1"/>
  <c r="B32" i="1"/>
  <c r="B3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4DA69C-C01A-4A5E-8D4E-BEE5A6B677A9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E29E633-2321-4DA3-AAE5-ED14CB3EC7B7}" name="WorksheetConnection_Sheet1!$P$27:$R$30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Sheet1P27R30"/>
        </x15:connection>
      </ext>
    </extLst>
  </connection>
</connections>
</file>

<file path=xl/sharedStrings.xml><?xml version="1.0" encoding="utf-8"?>
<sst xmlns="http://schemas.openxmlformats.org/spreadsheetml/2006/main" count="245" uniqueCount="151">
  <si>
    <t>William C. Patterson, Ph.D</t>
  </si>
  <si>
    <t>Home Characteristic</t>
  </si>
  <si>
    <t>US KWH/Yr</t>
  </si>
  <si>
    <t>Global KWH/Yr</t>
  </si>
  <si>
    <t>River Power Characteristic</t>
  </si>
  <si>
    <t>River Power HP</t>
  </si>
  <si>
    <t>River Power KW</t>
  </si>
  <si>
    <t>Annual KWH</t>
  </si>
  <si>
    <t>House Equivalents</t>
  </si>
  <si>
    <t>FPS</t>
  </si>
  <si>
    <t>Width (feet &amp; meters)</t>
  </si>
  <si>
    <t>Depth (feet &amp; meters)</t>
  </si>
  <si>
    <t>Current (feet/second &amp; meters/second)</t>
  </si>
  <si>
    <t>Current (mph &amp; km/hr)</t>
  </si>
  <si>
    <t>Current (feet per minute &amp; meters per minute)</t>
  </si>
  <si>
    <t>Electric Automobile Characteristic</t>
  </si>
  <si>
    <t>Average KWH/Yr</t>
  </si>
  <si>
    <t>Electric Car Equivalents</t>
  </si>
  <si>
    <t>MKS (SI)</t>
  </si>
  <si>
    <t>US Home Wattage</t>
  </si>
  <si>
    <t>Global Home Wattage</t>
  </si>
  <si>
    <t>Average WH/Mile</t>
  </si>
  <si>
    <t>Electricity Value</t>
  </si>
  <si>
    <t>Price of Gasoline</t>
  </si>
  <si>
    <t>Average Gasoline Economy (mpg)</t>
  </si>
  <si>
    <t>Gas Value</t>
  </si>
  <si>
    <t>Gal/Yr</t>
  </si>
  <si>
    <t>Gas Cost/Yr</t>
  </si>
  <si>
    <t>Gal/Mi</t>
  </si>
  <si>
    <t xml:space="preserve">    Gasoline Equivalencies</t>
  </si>
  <si>
    <t>AverageAuto Miles/Year</t>
  </si>
  <si>
    <t>Annual Cost Saved Via Electric Substitution for Petroleum</t>
  </si>
  <si>
    <t>Price of Residential Electrical Energy ($/KWH)</t>
  </si>
  <si>
    <t>Annual Value of Natural River Current (Horizontal Energy)</t>
  </si>
  <si>
    <t>Greater Pittsburgh River Power</t>
  </si>
  <si>
    <t>River</t>
  </si>
  <si>
    <t>Allegheny</t>
  </si>
  <si>
    <t>Monongahela</t>
  </si>
  <si>
    <t>Ohio</t>
  </si>
  <si>
    <t>Yougiogheny</t>
  </si>
  <si>
    <t>L mi</t>
  </si>
  <si>
    <t>W'</t>
  </si>
  <si>
    <t>D'</t>
  </si>
  <si>
    <t>KWH/Yr</t>
  </si>
  <si>
    <t>Houses</t>
  </si>
  <si>
    <t>Cars</t>
  </si>
  <si>
    <t>Electricity</t>
  </si>
  <si>
    <t>Value</t>
  </si>
  <si>
    <t>Powered</t>
  </si>
  <si>
    <t>Total</t>
  </si>
  <si>
    <t>fps</t>
  </si>
  <si>
    <t>cfs</t>
  </si>
  <si>
    <t>Tributary to Mon</t>
  </si>
  <si>
    <t>Tributary to Ohio</t>
  </si>
  <si>
    <t>Analysis</t>
  </si>
  <si>
    <t>Unaccounted</t>
  </si>
  <si>
    <t>Ft.Lb/s</t>
  </si>
  <si>
    <t>HP</t>
  </si>
  <si>
    <t>KW</t>
  </si>
  <si>
    <t>Detail</t>
  </si>
  <si>
    <t>Baseline</t>
  </si>
  <si>
    <t>River Power (KWH/Yr)</t>
  </si>
  <si>
    <t>Youghiogheny</t>
  </si>
  <si>
    <t>Mouth</t>
  </si>
  <si>
    <t>Pittsburgh</t>
  </si>
  <si>
    <t>McKeesport</t>
  </si>
  <si>
    <t>Cairo, IL</t>
  </si>
  <si>
    <t>Mouth W'</t>
  </si>
  <si>
    <t>Mouth D'</t>
  </si>
  <si>
    <t>Mouth cfs</t>
  </si>
  <si>
    <t>Implicit</t>
  </si>
  <si>
    <t>mph</t>
  </si>
  <si>
    <t>Cubic Feet of Water Per Second</t>
  </si>
  <si>
    <t>Ft.Lb/S</t>
  </si>
  <si>
    <t>&lt;&lt;Theoretical Potential</t>
  </si>
  <si>
    <t>Change Only Light Green Input Cells for Particular River &amp; Local Economy</t>
  </si>
  <si>
    <t>Dredge Rivers to 33' Depth (Double Depth)</t>
  </si>
  <si>
    <t>Widen River 100% (Double Width)</t>
  </si>
  <si>
    <t>Increase Current 100% (Double Current)</t>
  </si>
  <si>
    <t>Double Depth Effect</t>
  </si>
  <si>
    <t>Double Width Effect</t>
  </si>
  <si>
    <t>Double Current Effect</t>
  </si>
  <si>
    <t>Pittsburgh River Power Variable Analyses</t>
  </si>
  <si>
    <t>River Power River Mouth Discharge Analyses</t>
  </si>
  <si>
    <t>Drop'</t>
  </si>
  <si>
    <t>Slope</t>
  </si>
  <si>
    <t>Angle (Deg)</t>
  </si>
  <si>
    <t>Correlation (Drop vs Current)</t>
  </si>
  <si>
    <t>Correlation (W vs KWH)</t>
  </si>
  <si>
    <t>Correlation (fps vs KWH)</t>
  </si>
  <si>
    <t>Correlation (L vs W)</t>
  </si>
  <si>
    <t>Correlation (L vs Drop)</t>
  </si>
  <si>
    <t>Variable Relative Effect</t>
  </si>
  <si>
    <t>Silt Build-Up Shallows River Bed, Causes Flooding, Major Excavation to Relieve, Recycle Sediment to Farms</t>
  </si>
  <si>
    <t>Widening Infringes Riverbank Settlements, Major Excavation Expense</t>
  </si>
  <si>
    <t>Global Warming Likely to Increase Current, Prompt Flooding w/o Dredging</t>
  </si>
  <si>
    <t>Basin mi2</t>
  </si>
  <si>
    <t>Correlation (Basin vs KWH/Yr</t>
  </si>
  <si>
    <t>Narrow Channel to Increase Velocity &amp; Energy Harvest</t>
  </si>
  <si>
    <t>1/2 m v2 pcf</t>
  </si>
  <si>
    <t>X/S ft2</t>
  </si>
  <si>
    <t>XS Reduction</t>
  </si>
  <si>
    <t>KE Gain</t>
  </si>
  <si>
    <t>KE gain pcf</t>
  </si>
  <si>
    <t>% KE gain</t>
  </si>
  <si>
    <t>Initial River Characteristic</t>
  </si>
  <si>
    <t>Narrowed River Characteristic</t>
  </si>
  <si>
    <t>Converging Nozzle Phenomena</t>
  </si>
  <si>
    <t>Tapping a narrowed river channel for energy involves less plant &amp; equipment (less technology asset burden)</t>
  </si>
  <si>
    <t>Average</t>
  </si>
  <si>
    <t>Present D'</t>
  </si>
  <si>
    <t>Present W'</t>
  </si>
  <si>
    <t>Ft3 Femoved</t>
  </si>
  <si>
    <t>Yd3 Removed</t>
  </si>
  <si>
    <t>Present Angle</t>
  </si>
  <si>
    <t>Present Slope</t>
  </si>
  <si>
    <t>Present Current</t>
  </si>
  <si>
    <t>New Angle</t>
  </si>
  <si>
    <t>New Slope</t>
  </si>
  <si>
    <t>Added D'</t>
  </si>
  <si>
    <t>New D'</t>
  </si>
  <si>
    <t>Excavation L'</t>
  </si>
  <si>
    <t>Value As Topsoil</t>
  </si>
  <si>
    <t>New fps</t>
  </si>
  <si>
    <t>Deepen Riverbed Slope to Increase Velocity &amp; Energy Harvest, Avoid Flooding</t>
  </si>
  <si>
    <t>River Power Two</t>
  </si>
  <si>
    <t>Original Concept circa 1995</t>
  </si>
  <si>
    <t>River Channel Management Opportunities</t>
  </si>
  <si>
    <t>River Channel Management Initiative</t>
  </si>
  <si>
    <t>Topsoil Cost $/Yd3</t>
  </si>
  <si>
    <t>Present KWH/Yr</t>
  </si>
  <si>
    <t>Electricity $/KWH</t>
  </si>
  <si>
    <t>New E-Value</t>
  </si>
  <si>
    <t>Excavation Cost</t>
  </si>
  <si>
    <t>River Excavation $/Yd3</t>
  </si>
  <si>
    <t>Energy Offset</t>
  </si>
  <si>
    <t>Top Soil Offset</t>
  </si>
  <si>
    <t>Project Profit</t>
  </si>
  <si>
    <t>E-Value Increase/Yr</t>
  </si>
  <si>
    <t>Electricity Benefit/Yr</t>
  </si>
  <si>
    <t>Cost of Capital</t>
  </si>
  <si>
    <t>Present Value</t>
  </si>
  <si>
    <t>Sloped River Characteristic</t>
  </si>
  <si>
    <t>River Sediment Re-Valuation</t>
  </si>
  <si>
    <t>Project Value</t>
  </si>
  <si>
    <t>Improving the Energy Product of Natural Rivers</t>
  </si>
  <si>
    <t>All Values At Theoretical Potential</t>
  </si>
  <si>
    <t>Set-Up Cost</t>
  </si>
  <si>
    <t>Benefit/Cost Ratio</t>
  </si>
  <si>
    <t>Youghiogheny River Example</t>
  </si>
  <si>
    <t>River Power (KWH/Yr)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</si>
</sst>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164" formatCode="0.0"/>
    <numFmt numFmtId="165" formatCode="#,##0.0"/>
    <numFmt numFmtId="166" formatCode="0.000"/>
    <numFmt numFmtId="167" formatCode="#,##0.000"/>
    <numFmt numFmtId="168" formatCode="#,##0.00000"/>
    <numFmt numFmtId="169" formatCode="&quot;$&quot;#,##0.00"/>
    <numFmt numFmtId="170" formatCode="&quot;$&quot;#,##0"/>
    <numFmt numFmtId="171" formatCode="#,##0.0000"/>
    <numFmt numFmtId="172" formatCode="0.0000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6" borderId="1" applyNumberFormat="0" applyFont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4" fillId="4" borderId="0" xfId="0" applyFont="1" applyFill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0" fontId="3" fillId="0" borderId="0" xfId="0" applyFont="1"/>
    <xf numFmtId="3" fontId="1" fillId="2" borderId="0" xfId="1" applyNumberFormat="1" applyAlignment="1">
      <alignment horizontal="center"/>
    </xf>
    <xf numFmtId="0" fontId="1" fillId="2" borderId="0" xfId="1" applyAlignment="1">
      <alignment horizontal="center"/>
    </xf>
    <xf numFmtId="3" fontId="2" fillId="3" borderId="0" xfId="2" applyNumberFormat="1" applyAlignment="1">
      <alignment horizontal="center"/>
    </xf>
    <xf numFmtId="0" fontId="2" fillId="3" borderId="0" xfId="2" applyAlignment="1">
      <alignment horizontal="center"/>
    </xf>
    <xf numFmtId="164" fontId="2" fillId="3" borderId="0" xfId="2" applyNumberFormat="1" applyAlignment="1">
      <alignment horizontal="center"/>
    </xf>
    <xf numFmtId="1" fontId="2" fillId="3" borderId="0" xfId="2" applyNumberFormat="1" applyAlignment="1">
      <alignment horizontal="center"/>
    </xf>
    <xf numFmtId="0" fontId="3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2" fillId="3" borderId="0" xfId="2" applyNumberFormat="1" applyAlignment="1">
      <alignment horizontal="center"/>
    </xf>
    <xf numFmtId="3" fontId="0" fillId="0" borderId="0" xfId="0" applyNumberFormat="1"/>
    <xf numFmtId="0" fontId="3" fillId="0" borderId="0" xfId="0" applyFont="1" applyAlignment="1">
      <alignment horizontal="left"/>
    </xf>
    <xf numFmtId="0" fontId="5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3" fontId="9" fillId="7" borderId="0" xfId="1" applyNumberFormat="1" applyFont="1" applyFill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2" fillId="3" borderId="0" xfId="2" applyNumberFormat="1" applyAlignment="1">
      <alignment horizontal="center"/>
    </xf>
    <xf numFmtId="168" fontId="11" fillId="0" borderId="0" xfId="2" applyNumberFormat="1" applyFont="1" applyFill="1" applyAlignment="1">
      <alignment horizontal="center"/>
    </xf>
    <xf numFmtId="4" fontId="0" fillId="0" borderId="0" xfId="0" applyNumberFormat="1" applyAlignment="1">
      <alignment horizontal="left"/>
    </xf>
    <xf numFmtId="169" fontId="1" fillId="2" borderId="0" xfId="1" applyNumberFormat="1" applyAlignment="1">
      <alignment horizontal="center"/>
    </xf>
    <xf numFmtId="170" fontId="2" fillId="3" borderId="0" xfId="2" applyNumberFormat="1" applyAlignment="1">
      <alignment horizontal="center"/>
    </xf>
    <xf numFmtId="1" fontId="9" fillId="7" borderId="0" xfId="1" applyNumberFormat="1" applyFont="1" applyFill="1" applyAlignment="1">
      <alignment horizontal="center"/>
    </xf>
    <xf numFmtId="0" fontId="10" fillId="0" borderId="0" xfId="0" applyFont="1"/>
    <xf numFmtId="0" fontId="3" fillId="6" borderId="2" xfId="3" applyFont="1" applyBorder="1" applyAlignment="1">
      <alignment horizontal="left"/>
    </xf>
    <xf numFmtId="0" fontId="0" fillId="6" borderId="3" xfId="3" applyFont="1" applyBorder="1"/>
    <xf numFmtId="166" fontId="2" fillId="6" borderId="4" xfId="3" applyNumberFormat="1" applyFont="1" applyBorder="1" applyAlignment="1">
      <alignment horizontal="center"/>
    </xf>
    <xf numFmtId="0" fontId="0" fillId="6" borderId="5" xfId="3" applyFont="1" applyBorder="1"/>
    <xf numFmtId="1" fontId="2" fillId="6" borderId="4" xfId="3" applyNumberFormat="1" applyFont="1" applyBorder="1" applyAlignment="1">
      <alignment horizontal="center"/>
    </xf>
    <xf numFmtId="170" fontId="2" fillId="6" borderId="4" xfId="3" applyNumberFormat="1" applyFont="1" applyBorder="1" applyAlignment="1">
      <alignment horizontal="center"/>
    </xf>
    <xf numFmtId="170" fontId="2" fillId="6" borderId="6" xfId="3" applyNumberFormat="1" applyFont="1" applyBorder="1" applyAlignment="1">
      <alignment horizontal="center"/>
    </xf>
    <xf numFmtId="0" fontId="0" fillId="6" borderId="7" xfId="3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9" fontId="0" fillId="0" borderId="0" xfId="4" applyFont="1" applyAlignment="1">
      <alignment horizontal="center"/>
    </xf>
    <xf numFmtId="9" fontId="0" fillId="0" borderId="0" xfId="4" applyFont="1"/>
    <xf numFmtId="9" fontId="0" fillId="0" borderId="0" xfId="0" applyNumberFormat="1" applyAlignment="1">
      <alignment horizontal="center"/>
    </xf>
    <xf numFmtId="9" fontId="2" fillId="3" borderId="0" xfId="2" applyNumberFormat="1" applyAlignment="1">
      <alignment horizontal="center"/>
    </xf>
    <xf numFmtId="0" fontId="3" fillId="0" borderId="0" xfId="0" applyFont="1" applyAlignment="1">
      <alignment horizontal="right"/>
    </xf>
    <xf numFmtId="3" fontId="2" fillId="3" borderId="0" xfId="2" applyNumberFormat="1"/>
    <xf numFmtId="6" fontId="2" fillId="3" borderId="0" xfId="2" applyNumberFormat="1" applyAlignment="1">
      <alignment horizontal="center"/>
    </xf>
    <xf numFmtId="0" fontId="3" fillId="4" borderId="0" xfId="0" applyFont="1" applyFill="1" applyAlignment="1">
      <alignment horizontal="center"/>
    </xf>
    <xf numFmtId="3" fontId="12" fillId="3" borderId="0" xfId="2" applyNumberFormat="1" applyFont="1" applyAlignment="1">
      <alignment horizontal="center"/>
    </xf>
    <xf numFmtId="6" fontId="12" fillId="3" borderId="0" xfId="2" applyNumberFormat="1" applyFont="1" applyAlignment="1">
      <alignment horizontal="center"/>
    </xf>
    <xf numFmtId="1" fontId="12" fillId="3" borderId="0" xfId="2" applyNumberFormat="1" applyFont="1" applyAlignment="1">
      <alignment horizontal="center"/>
    </xf>
    <xf numFmtId="3" fontId="9" fillId="8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9" fillId="8" borderId="0" xfId="0" applyNumberFormat="1" applyFont="1" applyFill="1" applyAlignment="1">
      <alignment horizontal="center"/>
    </xf>
    <xf numFmtId="170" fontId="12" fillId="3" borderId="0" xfId="2" applyNumberFormat="1" applyFont="1" applyAlignment="1">
      <alignment horizontal="center"/>
    </xf>
    <xf numFmtId="168" fontId="2" fillId="3" borderId="0" xfId="2" applyNumberFormat="1" applyAlignment="1">
      <alignment horizontal="center"/>
    </xf>
    <xf numFmtId="4" fontId="2" fillId="3" borderId="0" xfId="2" applyNumberFormat="1" applyAlignment="1">
      <alignment horizontal="center"/>
    </xf>
    <xf numFmtId="2" fontId="2" fillId="3" borderId="0" xfId="2" applyNumberFormat="1" applyAlignment="1">
      <alignment horizontal="center"/>
    </xf>
    <xf numFmtId="9" fontId="2" fillId="3" borderId="0" xfId="4" applyFont="1" applyFill="1" applyAlignment="1">
      <alignment horizontal="center"/>
    </xf>
    <xf numFmtId="0" fontId="0" fillId="5" borderId="0" xfId="0" applyFill="1" applyAlignment="1">
      <alignment horizontal="center"/>
    </xf>
    <xf numFmtId="0" fontId="13" fillId="5" borderId="0" xfId="0" applyFont="1" applyFill="1"/>
    <xf numFmtId="171" fontId="2" fillId="3" borderId="0" xfId="2" applyNumberFormat="1" applyAlignment="1">
      <alignment horizontal="center"/>
    </xf>
    <xf numFmtId="172" fontId="2" fillId="3" borderId="0" xfId="2" applyNumberFormat="1" applyAlignment="1">
      <alignment horizontal="center"/>
    </xf>
    <xf numFmtId="0" fontId="0" fillId="0" borderId="0" xfId="0" applyAlignment="1">
      <alignment horizontal="left"/>
    </xf>
    <xf numFmtId="6" fontId="1" fillId="2" borderId="0" xfId="1" applyNumberFormat="1" applyAlignment="1">
      <alignment horizontal="center"/>
    </xf>
    <xf numFmtId="164" fontId="1" fillId="2" borderId="0" xfId="1" applyNumberFormat="1" applyAlignment="1">
      <alignment horizontal="center"/>
    </xf>
    <xf numFmtId="0" fontId="3" fillId="9" borderId="0" xfId="0" applyFont="1" applyFill="1"/>
    <xf numFmtId="0" fontId="0" fillId="9" borderId="0" xfId="0" applyFill="1"/>
    <xf numFmtId="0" fontId="14" fillId="9" borderId="0" xfId="0" applyFont="1" applyFill="1"/>
    <xf numFmtId="0" fontId="5" fillId="9" borderId="0" xfId="0" applyFont="1" applyFill="1"/>
    <xf numFmtId="9" fontId="12" fillId="3" borderId="0" xfId="2" applyNumberFormat="1" applyFont="1" applyAlignment="1">
      <alignment horizontal="center"/>
    </xf>
    <xf numFmtId="8" fontId="1" fillId="2" borderId="0" xfId="1" applyNumberFormat="1" applyAlignment="1">
      <alignment horizontal="center"/>
    </xf>
    <xf numFmtId="6" fontId="2" fillId="3" borderId="0" xfId="2" applyNumberFormat="1"/>
    <xf numFmtId="8" fontId="2" fillId="3" borderId="0" xfId="2" applyNumberFormat="1" applyAlignment="1">
      <alignment horizontal="center"/>
    </xf>
    <xf numFmtId="0" fontId="0" fillId="0" borderId="0" xfId="0" applyAlignment="1">
      <alignment horizontal="center" wrapText="1"/>
    </xf>
    <xf numFmtId="9" fontId="1" fillId="2" borderId="0" xfId="1" applyNumberFormat="1" applyAlignment="1">
      <alignment horizontal="center"/>
    </xf>
    <xf numFmtId="1" fontId="2" fillId="3" borderId="0" xfId="4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</cellXfs>
  <cellStyles count="5">
    <cellStyle name="Bad" xfId="2" builtinId="27"/>
    <cellStyle name="Good" xfId="1" builtinId="26"/>
    <cellStyle name="Normal" xfId="0" builtinId="0"/>
    <cellStyle name="Note" xfId="3" builtinId="1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River Power vs River Width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Sheet1!$AJ$13</c:f>
              <c:strCache>
                <c:ptCount val="1"/>
                <c:pt idx="0">
                  <c:v>KWH/Yr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1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0068099595658651"/>
                  <c:y val="-6.25601487314085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Sheet1!$AI$14:$AI$17</c:f>
              <c:numCache>
                <c:formatCode>General</c:formatCode>
                <c:ptCount val="4"/>
                <c:pt idx="0">
                  <c:v>900</c:v>
                </c:pt>
                <c:pt idx="1">
                  <c:v>1000</c:v>
                </c:pt>
                <c:pt idx="2">
                  <c:v>1300</c:v>
                </c:pt>
                <c:pt idx="3">
                  <c:v>400</c:v>
                </c:pt>
              </c:numCache>
            </c:numRef>
          </c:xVal>
          <c:yVal>
            <c:numRef>
              <c:f>Sheet1!$AJ$14:$AJ$17</c:f>
              <c:numCache>
                <c:formatCode>#,##0</c:formatCode>
                <c:ptCount val="4"/>
                <c:pt idx="0">
                  <c:v>14754276.235636361</c:v>
                </c:pt>
                <c:pt idx="1">
                  <c:v>9378974.5920000002</c:v>
                </c:pt>
                <c:pt idx="2">
                  <c:v>208709987.95636362</c:v>
                </c:pt>
                <c:pt idx="3">
                  <c:v>2577920.5261963638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E-47A7-92F9-F1AC0710E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838656"/>
        <c:axId val="465839312"/>
      </c:scatterChart>
      <c:valAx>
        <c:axId val="46583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River Width Feet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839312"/>
        <c:crosses val="autoZero"/>
        <c:crossBetween val="midCat"/>
      </c:valAx>
      <c:valAx>
        <c:axId val="46583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838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2">
            <a:lumMod val="67000"/>
          </a:schemeClr>
        </a:gs>
        <a:gs pos="48000">
          <a:schemeClr val="accent2">
            <a:lumMod val="97000"/>
            <a:lumOff val="3000"/>
          </a:schemeClr>
        </a:gs>
        <a:gs pos="100000">
          <a:schemeClr val="accent2">
            <a:lumMod val="60000"/>
            <a:lumOff val="40000"/>
          </a:schemeClr>
        </a:gs>
      </a:gsLst>
      <a:lin ang="16200000" scaled="1"/>
      <a:tileRect/>
    </a:gra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River Power Variable Effect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 w="25400">
              <a:noFill/>
            </a:ln>
            <a:effectLst/>
          </c:spPr>
          <c:invertIfNegative val="0"/>
          <c:cat>
            <c:strRef>
              <c:f>Sheet1!$V$40:$V$42</c:f>
              <c:strCache>
                <c:ptCount val="3"/>
                <c:pt idx="0">
                  <c:v>Double Depth Effect</c:v>
                </c:pt>
                <c:pt idx="1">
                  <c:v>Double Width Effect</c:v>
                </c:pt>
                <c:pt idx="2">
                  <c:v>Double Current Effect</c:v>
                </c:pt>
              </c:strCache>
            </c:strRef>
          </c:cat>
          <c:val>
            <c:numRef>
              <c:f>Sheet1!$X$40:$X$42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8-44E5-8378-637B66CE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997960"/>
        <c:axId val="585005832"/>
      </c:barChart>
      <c:catAx>
        <c:axId val="584997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005832"/>
        <c:crosses val="autoZero"/>
        <c:auto val="1"/>
        <c:lblAlgn val="ctr"/>
        <c:lblOffset val="100"/>
        <c:noMultiLvlLbl val="0"/>
      </c:catAx>
      <c:valAx>
        <c:axId val="58500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997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1">
            <a:lumMod val="67000"/>
          </a:schemeClr>
        </a:gs>
        <a:gs pos="48000">
          <a:schemeClr val="accent1">
            <a:lumMod val="97000"/>
            <a:lumOff val="3000"/>
          </a:schemeClr>
        </a:gs>
        <a:gs pos="100000">
          <a:schemeClr val="accent1">
            <a:lumMod val="60000"/>
            <a:lumOff val="40000"/>
          </a:schemeClr>
        </a:gs>
      </a:gsLst>
      <a:lin ang="16200000" scaled="1"/>
      <a:tileRect/>
    </a:gra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River Power vs River Current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Sheet1!$AS$13</c:f>
              <c:strCache>
                <c:ptCount val="1"/>
                <c:pt idx="0">
                  <c:v>KWH/Yr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1"/>
                </a:solidFill>
                <a:prstDash val="solid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15544225721784777"/>
                  <c:y val="0.106064814814814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Sheet1!$AR$14:$AR$17</c:f>
              <c:numCache>
                <c:formatCode>#,##0.0</c:formatCode>
                <c:ptCount val="4"/>
                <c:pt idx="0">
                  <c:v>1.34006734006734</c:v>
                </c:pt>
                <c:pt idx="1">
                  <c:v>0.76666666666666672</c:v>
                </c:pt>
                <c:pt idx="2">
                  <c:v>3.7039473684210527</c:v>
                </c:pt>
                <c:pt idx="3">
                  <c:v>0.52681818181818185</c:v>
                </c:pt>
              </c:numCache>
            </c:numRef>
          </c:xVal>
          <c:yVal>
            <c:numRef>
              <c:f>Sheet1!$AS$14:$AS$17</c:f>
              <c:numCache>
                <c:formatCode>#,##0</c:formatCode>
                <c:ptCount val="4"/>
                <c:pt idx="0">
                  <c:v>14754276.235636361</c:v>
                </c:pt>
                <c:pt idx="1">
                  <c:v>9378974.5920000002</c:v>
                </c:pt>
                <c:pt idx="2">
                  <c:v>208709987.95636362</c:v>
                </c:pt>
                <c:pt idx="3">
                  <c:v>2577920.5261963638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8-4B25-9C45-3AD738B62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785264"/>
        <c:axId val="406814064"/>
      </c:scatterChart>
      <c:valAx>
        <c:axId val="40778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River Current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814064"/>
        <c:crosses val="autoZero"/>
        <c:crossBetween val="midCat"/>
      </c:valAx>
      <c:valAx>
        <c:axId val="40681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Annual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78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accent2">
            <a:lumMod val="67000"/>
          </a:schemeClr>
        </a:gs>
        <a:gs pos="48000">
          <a:schemeClr val="accent2">
            <a:lumMod val="97000"/>
            <a:lumOff val="3000"/>
          </a:schemeClr>
        </a:gs>
        <a:gs pos="100000">
          <a:schemeClr val="accent2">
            <a:lumMod val="60000"/>
            <a:lumOff val="40000"/>
          </a:schemeClr>
        </a:gs>
      </a:gsLst>
      <a:lin ang="16200000" scaled="1"/>
      <a:tileRect/>
    </a:gra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3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3</xdr:row>
      <xdr:rowOff>180975</xdr:rowOff>
    </xdr:from>
    <xdr:to>
      <xdr:col>8</xdr:col>
      <xdr:colOff>404996</xdr:colOff>
      <xdr:row>17</xdr:row>
      <xdr:rowOff>190499</xdr:rowOff>
    </xdr:to>
    <xdr:pic>
      <xdr:nvPicPr>
        <xdr:cNvPr id="2" name="Picture 1" descr="Related image">
          <a:extLst>
            <a:ext uri="{FF2B5EF4-FFF2-40B4-BE49-F238E27FC236}">
              <a16:creationId xmlns:a16="http://schemas.microsoft.com/office/drawing/2014/main" id="{9D174404-8FE4-4511-85BA-30775A0D8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0"/>
          <a:ext cx="4291196" cy="2676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19051</xdr:colOff>
      <xdr:row>20</xdr:row>
      <xdr:rowOff>84638</xdr:rowOff>
    </xdr:from>
    <xdr:to>
      <xdr:col>8</xdr:col>
      <xdr:colOff>438150</xdr:colOff>
      <xdr:row>35</xdr:row>
      <xdr:rowOff>3740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CEA0A6-FD81-4734-89CC-7D7099127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6" y="3999413"/>
          <a:ext cx="4343399" cy="2776602"/>
        </a:xfrm>
        <a:prstGeom prst="rect">
          <a:avLst/>
        </a:prstGeom>
      </xdr:spPr>
    </xdr:pic>
    <xdr:clientData/>
  </xdr:twoCellAnchor>
  <xdr:twoCellAnchor>
    <xdr:from>
      <xdr:col>32</xdr:col>
      <xdr:colOff>66675</xdr:colOff>
      <xdr:row>20</xdr:row>
      <xdr:rowOff>14287</xdr:rowOff>
    </xdr:from>
    <xdr:to>
      <xdr:col>39</xdr:col>
      <xdr:colOff>161925</xdr:colOff>
      <xdr:row>34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E1C0B6-3BE0-4144-8CF3-7A53E9D23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114300</xdr:colOff>
      <xdr:row>43</xdr:row>
      <xdr:rowOff>147637</xdr:rowOff>
    </xdr:from>
    <xdr:to>
      <xdr:col>28</xdr:col>
      <xdr:colOff>295275</xdr:colOff>
      <xdr:row>60</xdr:row>
      <xdr:rowOff>223837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6D28980-E152-4E31-856A-B22F67CA6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19</xdr:row>
      <xdr:rowOff>185737</xdr:rowOff>
    </xdr:from>
    <xdr:to>
      <xdr:col>46</xdr:col>
      <xdr:colOff>590550</xdr:colOff>
      <xdr:row>34</xdr:row>
      <xdr:rowOff>71437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9CB46E-7683-4EE2-9E09-B286C536E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180974</xdr:colOff>
      <xdr:row>42</xdr:row>
      <xdr:rowOff>58866</xdr:rowOff>
    </xdr:from>
    <xdr:to>
      <xdr:col>0</xdr:col>
      <xdr:colOff>3695699</xdr:colOff>
      <xdr:row>54</xdr:row>
      <xdr:rowOff>110158</xdr:rowOff>
    </xdr:to>
    <xdr:pic>
      <xdr:nvPicPr>
        <xdr:cNvPr id="7" name="Picture 6" descr="Related image">
          <a:extLst>
            <a:ext uri="{FF2B5EF4-FFF2-40B4-BE49-F238E27FC236}">
              <a16:creationId xmlns:a16="http://schemas.microsoft.com/office/drawing/2014/main" id="{AAC09D3C-BA9D-4E56-A62A-97784566F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8240841"/>
          <a:ext cx="3514725" cy="2337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133351</xdr:colOff>
      <xdr:row>58</xdr:row>
      <xdr:rowOff>123824</xdr:rowOff>
    </xdr:from>
    <xdr:to>
      <xdr:col>0</xdr:col>
      <xdr:colOff>3733801</xdr:colOff>
      <xdr:row>65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78BBC49-CF3C-4C55-BC2D-C5A362A13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1544299"/>
          <a:ext cx="3600450" cy="1600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9AEA9-AAA2-411B-8D04-771DC9E398CB}">
  <dimension ref="A1:AV70"/>
  <sheetViews>
    <sheetView tabSelected="1" topLeftCell="A7" workbookViewId="0">
      <selection activeCell="J23" sqref="J23"/>
    </sheetView>
  </sheetViews>
  <sheetFormatPr defaultRowHeight="15" x14ac:dyDescent="0.25"/>
  <cols>
    <col min="1" max="1" width="56.7109375" customWidth="1"/>
    <col min="2" max="2" width="16.28515625" customWidth="1"/>
    <col min="3" max="3" width="14" customWidth="1"/>
    <col min="4" max="4" width="13.42578125" customWidth="1"/>
    <col min="5" max="5" width="14.5703125" customWidth="1"/>
    <col min="6" max="6" width="13.85546875" customWidth="1"/>
    <col min="7" max="7" width="14.42578125" customWidth="1"/>
    <col min="8" max="8" width="16" customWidth="1"/>
    <col min="9" max="9" width="13.28515625" customWidth="1"/>
    <col min="10" max="10" width="13.42578125" customWidth="1"/>
    <col min="11" max="11" width="15.5703125" bestFit="1" customWidth="1"/>
    <col min="12" max="12" width="12.85546875" customWidth="1"/>
    <col min="13" max="13" width="13.28515625" customWidth="1"/>
    <col min="14" max="14" width="11.85546875" bestFit="1" customWidth="1"/>
    <col min="15" max="15" width="13" customWidth="1"/>
    <col min="16" max="16" width="13.7109375" customWidth="1"/>
    <col min="17" max="17" width="11.140625" bestFit="1" customWidth="1"/>
    <col min="18" max="21" width="11.140625" customWidth="1"/>
    <col min="22" max="22" width="11.140625" bestFit="1" customWidth="1"/>
    <col min="23" max="23" width="13.140625" customWidth="1"/>
    <col min="24" max="27" width="11.140625" customWidth="1"/>
    <col min="28" max="28" width="11.140625" bestFit="1" customWidth="1"/>
    <col min="29" max="29" width="12.5703125" customWidth="1"/>
    <col min="34" max="35" width="10.42578125" customWidth="1"/>
    <col min="36" max="36" width="13.85546875" customWidth="1"/>
    <col min="40" max="40" width="15.42578125" customWidth="1"/>
    <col min="41" max="41" width="16" customWidth="1"/>
    <col min="42" max="42" width="14.28515625" customWidth="1"/>
    <col min="43" max="43" width="9.5703125" bestFit="1" customWidth="1"/>
    <col min="44" max="44" width="11.5703125" bestFit="1" customWidth="1"/>
    <col min="45" max="45" width="12.140625" customWidth="1"/>
    <col min="46" max="46" width="12.5703125" customWidth="1"/>
  </cols>
  <sheetData>
    <row r="1" spans="1:48" ht="23.25" x14ac:dyDescent="0.35">
      <c r="A1" s="1" t="s">
        <v>125</v>
      </c>
      <c r="B1" s="20" t="s">
        <v>128</v>
      </c>
      <c r="C1" s="19"/>
      <c r="D1" s="2"/>
      <c r="E1" s="2"/>
      <c r="F1" s="2"/>
      <c r="G1" s="2"/>
      <c r="H1" s="17" t="s">
        <v>126</v>
      </c>
      <c r="I1" s="1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0</v>
      </c>
      <c r="B2" s="4"/>
      <c r="C2" s="12">
        <v>2019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4" spans="1:48" x14ac:dyDescent="0.25">
      <c r="B4" s="18" t="s">
        <v>75</v>
      </c>
      <c r="N4" s="2"/>
      <c r="O4" s="2"/>
      <c r="P4" s="2"/>
      <c r="Q4" s="2"/>
      <c r="R4" s="2"/>
      <c r="S4" s="2"/>
      <c r="T4" s="2"/>
      <c r="U4" s="2"/>
      <c r="V4" s="50"/>
      <c r="W4" s="50"/>
      <c r="X4" s="50" t="s">
        <v>82</v>
      </c>
      <c r="Y4" s="50"/>
      <c r="Z4" s="50"/>
      <c r="AA4" s="50"/>
      <c r="AB4" s="2"/>
      <c r="AC4" s="2"/>
      <c r="AD4" s="2"/>
      <c r="AE4" s="2"/>
      <c r="AG4" s="4"/>
      <c r="AH4" s="4"/>
      <c r="AI4" s="4"/>
      <c r="AJ4" s="4"/>
      <c r="AK4" s="4"/>
      <c r="AL4" s="4"/>
      <c r="AM4" s="4"/>
      <c r="AN4" s="4"/>
      <c r="AO4" s="12" t="s">
        <v>83</v>
      </c>
      <c r="AP4" s="12"/>
      <c r="AQ4" s="4"/>
      <c r="AR4" s="4"/>
      <c r="AS4" s="4"/>
      <c r="AT4" s="4"/>
      <c r="AU4" s="4"/>
      <c r="AV4" s="4"/>
    </row>
    <row r="5" spans="1:48" x14ac:dyDescent="0.25">
      <c r="A5" s="5" t="s">
        <v>1</v>
      </c>
      <c r="C5" s="13" t="s">
        <v>22</v>
      </c>
      <c r="N5" s="5" t="s">
        <v>34</v>
      </c>
      <c r="AC5" s="41" t="s">
        <v>46</v>
      </c>
      <c r="AD5" s="41" t="s">
        <v>48</v>
      </c>
      <c r="AE5" s="41" t="s">
        <v>48</v>
      </c>
      <c r="AF5" s="41"/>
      <c r="AK5" s="41"/>
      <c r="AL5" s="41" t="s">
        <v>70</v>
      </c>
      <c r="AQ5" s="5"/>
      <c r="AR5" s="5"/>
      <c r="AS5" s="5"/>
      <c r="AT5" s="41" t="s">
        <v>46</v>
      </c>
      <c r="AU5" s="41" t="s">
        <v>48</v>
      </c>
      <c r="AV5" s="41" t="s">
        <v>48</v>
      </c>
    </row>
    <row r="6" spans="1:48" x14ac:dyDescent="0.25">
      <c r="A6" t="s">
        <v>2</v>
      </c>
      <c r="B6" s="21">
        <v>10900</v>
      </c>
      <c r="C6" s="30">
        <f>B6*B10</f>
        <v>2692.3</v>
      </c>
      <c r="N6" s="41" t="s">
        <v>35</v>
      </c>
      <c r="O6" s="41" t="s">
        <v>40</v>
      </c>
      <c r="P6" s="41" t="s">
        <v>41</v>
      </c>
      <c r="Q6" s="41" t="s">
        <v>42</v>
      </c>
      <c r="R6" s="41" t="s">
        <v>96</v>
      </c>
      <c r="S6" s="41" t="s">
        <v>84</v>
      </c>
      <c r="T6" s="41" t="s">
        <v>85</v>
      </c>
      <c r="U6" s="41" t="s">
        <v>86</v>
      </c>
      <c r="V6" s="41" t="s">
        <v>50</v>
      </c>
      <c r="W6" s="41" t="s">
        <v>71</v>
      </c>
      <c r="X6" s="41" t="s">
        <v>51</v>
      </c>
      <c r="Y6" s="41" t="s">
        <v>56</v>
      </c>
      <c r="Z6" s="41" t="s">
        <v>57</v>
      </c>
      <c r="AA6" s="41" t="s">
        <v>58</v>
      </c>
      <c r="AB6" s="41" t="s">
        <v>43</v>
      </c>
      <c r="AC6" s="41" t="s">
        <v>47</v>
      </c>
      <c r="AD6" s="41" t="s">
        <v>44</v>
      </c>
      <c r="AE6" s="41" t="s">
        <v>45</v>
      </c>
      <c r="AF6" s="41"/>
      <c r="AG6" s="41" t="s">
        <v>35</v>
      </c>
      <c r="AH6" s="41" t="s">
        <v>63</v>
      </c>
      <c r="AI6" s="41" t="s">
        <v>67</v>
      </c>
      <c r="AJ6" s="41" t="s">
        <v>68</v>
      </c>
      <c r="AK6" s="41" t="s">
        <v>69</v>
      </c>
      <c r="AL6" s="41" t="s">
        <v>50</v>
      </c>
      <c r="AM6" s="41" t="s">
        <v>54</v>
      </c>
      <c r="AN6" s="41" t="s">
        <v>59</v>
      </c>
      <c r="AO6" s="41" t="s">
        <v>55</v>
      </c>
      <c r="AP6" s="41" t="s">
        <v>56</v>
      </c>
      <c r="AQ6" s="41" t="s">
        <v>57</v>
      </c>
      <c r="AR6" s="41" t="s">
        <v>58</v>
      </c>
      <c r="AS6" s="41" t="s">
        <v>43</v>
      </c>
      <c r="AT6" s="41" t="s">
        <v>47</v>
      </c>
      <c r="AU6" s="41" t="s">
        <v>44</v>
      </c>
      <c r="AV6" s="41" t="s">
        <v>45</v>
      </c>
    </row>
    <row r="7" spans="1:48" x14ac:dyDescent="0.25">
      <c r="A7" t="s">
        <v>19</v>
      </c>
      <c r="B7" s="8">
        <f>B6*1000/(365*24)</f>
        <v>1244.2922374429224</v>
      </c>
      <c r="N7" s="24" t="s">
        <v>36</v>
      </c>
      <c r="O7" s="13">
        <v>325</v>
      </c>
      <c r="P7" s="13">
        <v>900</v>
      </c>
      <c r="Q7" s="13">
        <v>16.5</v>
      </c>
      <c r="R7" s="22">
        <v>11580</v>
      </c>
      <c r="S7" s="22">
        <v>1738</v>
      </c>
      <c r="T7" s="58">
        <f>-S7/(O7*5280)</f>
        <v>-1.0128205128205128E-3</v>
      </c>
      <c r="U7" s="59">
        <f>DEGREES(ATAN(T7))</f>
        <v>-5.8030320946291139E-2</v>
      </c>
      <c r="V7" s="10">
        <v>1.3400673400673411</v>
      </c>
      <c r="W7" s="10">
        <f>V7/5280*3600</f>
        <v>0.9136822773186416</v>
      </c>
      <c r="X7" s="8">
        <f>P7*Q7*V7</f>
        <v>19900.000000000015</v>
      </c>
      <c r="Y7" s="8">
        <f>X7*62.4</f>
        <v>1241760.0000000009</v>
      </c>
      <c r="Z7" s="8">
        <f>Y7/550</f>
        <v>2257.7454545454561</v>
      </c>
      <c r="AA7" s="8">
        <f>Z7*746/1000</f>
        <v>1684.2781090909102</v>
      </c>
      <c r="AB7" s="8">
        <f>AA7*365*24</f>
        <v>14754276.235636372</v>
      </c>
      <c r="AC7" s="49">
        <f>AB7*$B$10</f>
        <v>3644306.2302021841</v>
      </c>
      <c r="AD7" s="8">
        <f>AB7/$B$6</f>
        <v>1353.6033243703093</v>
      </c>
      <c r="AE7" s="8">
        <f>AB7/$B$14</f>
        <v>3421.4242532178441</v>
      </c>
      <c r="AF7" s="13"/>
      <c r="AG7" s="24" t="s">
        <v>36</v>
      </c>
      <c r="AH7" s="13" t="s">
        <v>64</v>
      </c>
      <c r="AI7" s="22">
        <v>900</v>
      </c>
      <c r="AJ7" s="55">
        <v>16.5</v>
      </c>
      <c r="AK7" s="54">
        <v>19900</v>
      </c>
      <c r="AL7" s="56">
        <f>AK7/(AI7*AJ7)</f>
        <v>1.34006734006734</v>
      </c>
      <c r="AM7" s="43">
        <f>AK7/AK9</f>
        <v>7.0692717584369444E-2</v>
      </c>
      <c r="AN7" t="s">
        <v>53</v>
      </c>
      <c r="AP7" s="8">
        <f>AK7*62.4</f>
        <v>1241760</v>
      </c>
      <c r="AQ7" s="8">
        <f>AP7/550</f>
        <v>2257.7454545454543</v>
      </c>
      <c r="AR7" s="8">
        <f>AQ7*746/1000</f>
        <v>1684.2781090909089</v>
      </c>
      <c r="AS7" s="48">
        <f>AR7*365*24</f>
        <v>14754276.235636361</v>
      </c>
      <c r="AT7" s="49">
        <f>AS7*$B$10</f>
        <v>3644306.2302021813</v>
      </c>
      <c r="AU7" s="8">
        <f>AS7/$B$6</f>
        <v>1353.6033243703084</v>
      </c>
      <c r="AV7" s="11">
        <f>AE14</f>
        <v>6842.8485064356883</v>
      </c>
    </row>
    <row r="8" spans="1:48" x14ac:dyDescent="0.25">
      <c r="A8" t="s">
        <v>3</v>
      </c>
      <c r="B8" s="21">
        <v>3500</v>
      </c>
      <c r="C8" s="30">
        <f>B8*B10</f>
        <v>864.5</v>
      </c>
      <c r="N8" s="24" t="s">
        <v>37</v>
      </c>
      <c r="O8" s="13">
        <v>128</v>
      </c>
      <c r="P8" s="13">
        <v>1000</v>
      </c>
      <c r="Q8" s="13">
        <v>16.5</v>
      </c>
      <c r="R8" s="22">
        <v>7340</v>
      </c>
      <c r="S8" s="22">
        <v>3831</v>
      </c>
      <c r="T8" s="58">
        <f>-S8/(O8*5280)</f>
        <v>-5.6685014204545456E-3</v>
      </c>
      <c r="U8" s="59">
        <f>DEGREES(ATAN(T8))</f>
        <v>-0.32477772900968871</v>
      </c>
      <c r="V8" s="10">
        <v>0.76666666666666661</v>
      </c>
      <c r="W8" s="10">
        <f>V8/5280*3600</f>
        <v>0.52272727272727271</v>
      </c>
      <c r="X8" s="8">
        <f>P8*Q8*V8</f>
        <v>12649.999999999998</v>
      </c>
      <c r="Y8" s="8">
        <f>X8*62.4</f>
        <v>789359.99999999988</v>
      </c>
      <c r="Z8" s="8">
        <f>Y8/550</f>
        <v>1435.1999999999998</v>
      </c>
      <c r="AA8" s="8">
        <f>Z8*746/1000</f>
        <v>1070.6592000000001</v>
      </c>
      <c r="AB8" s="8">
        <f>AA8*365*24</f>
        <v>9378974.5920000002</v>
      </c>
      <c r="AC8" s="49">
        <f>AB8*$B$10</f>
        <v>2316606.7242240002</v>
      </c>
      <c r="AD8" s="8">
        <f>AB8/$B$6</f>
        <v>860.45638458715598</v>
      </c>
      <c r="AE8" s="8">
        <f>AB8/$B$14</f>
        <v>2174.9254674977742</v>
      </c>
      <c r="AF8" s="13"/>
      <c r="AG8" s="24" t="s">
        <v>37</v>
      </c>
      <c r="AH8" s="13" t="s">
        <v>64</v>
      </c>
      <c r="AI8" s="22">
        <v>1000</v>
      </c>
      <c r="AJ8" s="55">
        <v>16.5</v>
      </c>
      <c r="AK8" s="54">
        <v>12650</v>
      </c>
      <c r="AL8" s="56">
        <f>AK8/(AI8*AJ8)</f>
        <v>0.76666666666666672</v>
      </c>
      <c r="AM8" s="43">
        <f>AK8/AK9</f>
        <v>4.493783303730018E-2</v>
      </c>
      <c r="AN8" t="s">
        <v>53</v>
      </c>
      <c r="AP8" s="8">
        <f>AK8*62.4</f>
        <v>789360</v>
      </c>
      <c r="AQ8" s="8">
        <f>AP8/550</f>
        <v>1435.2</v>
      </c>
      <c r="AR8" s="8">
        <f>AQ8*746/1000</f>
        <v>1070.6592000000001</v>
      </c>
      <c r="AS8" s="48">
        <f t="shared" ref="AS8:AS10" si="0">AR8*365*24</f>
        <v>9378974.5920000002</v>
      </c>
      <c r="AT8" s="49">
        <f>AS8*$B$10</f>
        <v>2316606.7242240002</v>
      </c>
      <c r="AU8" s="8">
        <f>AS8/$B$6</f>
        <v>860.45638458715598</v>
      </c>
      <c r="AV8" s="11">
        <f>AE15</f>
        <v>4349.8509349955484</v>
      </c>
    </row>
    <row r="9" spans="1:48" x14ac:dyDescent="0.25">
      <c r="A9" t="s">
        <v>20</v>
      </c>
      <c r="B9" s="8">
        <f>B8*1000/(365*24)</f>
        <v>399.54337899543378</v>
      </c>
      <c r="N9" s="24" t="s">
        <v>38</v>
      </c>
      <c r="O9" s="13">
        <v>981</v>
      </c>
      <c r="P9" s="13">
        <v>1300</v>
      </c>
      <c r="Q9" s="13">
        <v>16.5</v>
      </c>
      <c r="R9" s="22">
        <v>189422</v>
      </c>
      <c r="S9" s="22">
        <v>1950</v>
      </c>
      <c r="T9" s="58">
        <f>-S9/(O9*5280)</f>
        <v>-3.7647113335186728E-4</v>
      </c>
      <c r="U9" s="59">
        <f>DEGREES(ATAN(T9))</f>
        <v>-2.1570206030516709E-2</v>
      </c>
      <c r="V9" s="10">
        <f>X9/(P9*Q9)</f>
        <v>1.5174825174825182</v>
      </c>
      <c r="W9" s="10">
        <f>V9/5280*3600</f>
        <v>1.0346471710108078</v>
      </c>
      <c r="X9" s="8">
        <f>SUM(X7,X8)</f>
        <v>32550.000000000015</v>
      </c>
      <c r="Y9" s="8">
        <f>X9*62.4</f>
        <v>2031120.0000000009</v>
      </c>
      <c r="Z9" s="8">
        <f>Y9/550</f>
        <v>3692.9454545454564</v>
      </c>
      <c r="AA9" s="8">
        <f>Z9*746/1000</f>
        <v>2754.9373090909103</v>
      </c>
      <c r="AB9" s="8">
        <f>AA9*365*24</f>
        <v>24133250.827636372</v>
      </c>
      <c r="AC9" s="49">
        <f>AB9*$B$10</f>
        <v>5960912.9544261843</v>
      </c>
      <c r="AD9" s="8">
        <f>AB9/$B$6</f>
        <v>2214.0597089574653</v>
      </c>
      <c r="AE9" s="8">
        <f>AB9/$B$14</f>
        <v>5596.3497207156179</v>
      </c>
      <c r="AF9" s="13"/>
      <c r="AG9" s="24" t="s">
        <v>38</v>
      </c>
      <c r="AH9" s="13" t="s">
        <v>66</v>
      </c>
      <c r="AI9" s="22">
        <v>4000</v>
      </c>
      <c r="AJ9" s="22">
        <v>19</v>
      </c>
      <c r="AK9" s="54">
        <v>281500</v>
      </c>
      <c r="AL9" s="56">
        <f>AK9/(AI9*AJ9)</f>
        <v>3.7039473684210527</v>
      </c>
      <c r="AM9" s="43"/>
      <c r="AO9" s="46">
        <f>1-AM7-AM8</f>
        <v>0.8843694493783304</v>
      </c>
      <c r="AP9" s="8">
        <f>AK9*62.4</f>
        <v>17565600</v>
      </c>
      <c r="AQ9" s="8">
        <f>AP9/550</f>
        <v>31937.454545454544</v>
      </c>
      <c r="AR9" s="8">
        <f>AQ9*746/1000</f>
        <v>23825.341090909089</v>
      </c>
      <c r="AS9" s="48">
        <f t="shared" si="0"/>
        <v>208709987.95636362</v>
      </c>
      <c r="AT9" s="49">
        <f>AS9*$B$10</f>
        <v>51551367.02522181</v>
      </c>
      <c r="AU9" s="8">
        <f>AS9/$B$6</f>
        <v>19147.705317097581</v>
      </c>
      <c r="AV9" s="11">
        <f>AE16</f>
        <v>11192.699441431236</v>
      </c>
    </row>
    <row r="10" spans="1:48" x14ac:dyDescent="0.25">
      <c r="A10" t="s">
        <v>32</v>
      </c>
      <c r="B10" s="29">
        <v>0.247</v>
      </c>
      <c r="N10" s="24" t="s">
        <v>39</v>
      </c>
      <c r="O10" s="13">
        <v>122</v>
      </c>
      <c r="P10" s="13">
        <v>400</v>
      </c>
      <c r="Q10" s="13">
        <v>16.5</v>
      </c>
      <c r="R10" s="22">
        <v>1715</v>
      </c>
      <c r="S10" s="22">
        <v>1964</v>
      </c>
      <c r="T10" s="58">
        <f>-S10/(O10*5280)</f>
        <v>-3.0489319423745655E-3</v>
      </c>
      <c r="U10" s="59">
        <f>DEGREES(ATAN(T10))</f>
        <v>-0.174690391015553</v>
      </c>
      <c r="V10" s="10">
        <v>0.52681818181818185</v>
      </c>
      <c r="W10" s="10">
        <f>V10/5280*3600</f>
        <v>0.35919421487603309</v>
      </c>
      <c r="X10" s="8">
        <f>P10*Q10*V10</f>
        <v>3477</v>
      </c>
      <c r="Y10" s="8">
        <f>X10*62.4</f>
        <v>216964.8</v>
      </c>
      <c r="Z10" s="8">
        <f>Y10/550</f>
        <v>394.48145454545454</v>
      </c>
      <c r="AA10" s="8">
        <f>Z10*746/1000</f>
        <v>294.28316509090911</v>
      </c>
      <c r="AB10" s="8">
        <f>AA10*365*24</f>
        <v>2577920.5261963638</v>
      </c>
      <c r="AC10" s="49">
        <f>AB10*$B$10</f>
        <v>636746.36997050187</v>
      </c>
      <c r="AD10" s="8">
        <f>AB10/$B$6</f>
        <v>236.50647029324438</v>
      </c>
      <c r="AE10" s="8">
        <f>AB10/$B$14</f>
        <v>597.80362454464512</v>
      </c>
      <c r="AF10" s="13"/>
      <c r="AG10" s="24" t="s">
        <v>62</v>
      </c>
      <c r="AH10" s="13" t="s">
        <v>65</v>
      </c>
      <c r="AI10" s="22">
        <v>400</v>
      </c>
      <c r="AJ10" s="55">
        <v>16.5</v>
      </c>
      <c r="AK10" s="54">
        <v>3477</v>
      </c>
      <c r="AL10" s="56">
        <f>AK10/(AI10*AJ10)</f>
        <v>0.52681818181818185</v>
      </c>
      <c r="AM10" s="43">
        <f>AK10/AK8</f>
        <v>0.27486166007905138</v>
      </c>
      <c r="AN10" t="s">
        <v>52</v>
      </c>
      <c r="AO10" s="46">
        <f>1-AM10</f>
        <v>0.72513833992094856</v>
      </c>
      <c r="AP10" s="8">
        <f>AK10*62.4</f>
        <v>216964.8</v>
      </c>
      <c r="AQ10" s="8">
        <f>AP10/550</f>
        <v>394.48145454545454</v>
      </c>
      <c r="AR10" s="8">
        <f>AQ10*746/1000</f>
        <v>294.28316509090911</v>
      </c>
      <c r="AS10" s="48">
        <f t="shared" si="0"/>
        <v>2577920.5261963638</v>
      </c>
      <c r="AT10" s="49">
        <f>AS10*$B$10</f>
        <v>636746.36997050187</v>
      </c>
      <c r="AU10" s="8">
        <f>AS10/$B$6</f>
        <v>236.50647029324438</v>
      </c>
      <c r="AV10" s="11">
        <f>AE17</f>
        <v>1195.6072490892902</v>
      </c>
    </row>
    <row r="11" spans="1:48" x14ac:dyDescent="0.25">
      <c r="Q11" s="13" t="s">
        <v>109</v>
      </c>
      <c r="R11" s="8">
        <f>AVERAGE(R7:R10)</f>
        <v>52514.25</v>
      </c>
      <c r="S11" s="8">
        <f>AVERAGE(S7:S10)</f>
        <v>2370.75</v>
      </c>
      <c r="T11" s="58">
        <f>AVERAGE(T7:T10)</f>
        <v>-2.5266812522503727E-3</v>
      </c>
      <c r="U11" s="59">
        <f>AVERAGE(U7:U10)</f>
        <v>-0.14476716175051241</v>
      </c>
      <c r="V11" s="59">
        <f>AVERAGE(V7:V10)</f>
        <v>1.0377586765086768</v>
      </c>
      <c r="W11" s="41" t="s">
        <v>49</v>
      </c>
      <c r="X11" s="51">
        <f t="shared" ref="X11:AE11" si="1">SUM(X7:X10)</f>
        <v>68577.000000000029</v>
      </c>
      <c r="Y11" s="51">
        <f t="shared" si="1"/>
        <v>4279204.8000000017</v>
      </c>
      <c r="Z11" s="51">
        <f t="shared" si="1"/>
        <v>7780.3723636363675</v>
      </c>
      <c r="AA11" s="51">
        <f t="shared" si="1"/>
        <v>5804.1577832727298</v>
      </c>
      <c r="AB11" s="51">
        <f t="shared" si="1"/>
        <v>50844422.181469105</v>
      </c>
      <c r="AC11" s="57">
        <f t="shared" si="1"/>
        <v>12558572.278822871</v>
      </c>
      <c r="AD11" s="51">
        <f t="shared" si="1"/>
        <v>4664.6258882081747</v>
      </c>
      <c r="AE11" s="51">
        <f t="shared" si="1"/>
        <v>11790.503065975881</v>
      </c>
      <c r="AF11" s="42"/>
      <c r="AM11" s="44"/>
      <c r="AP11" s="51">
        <f>SUM(AP7:AP10)</f>
        <v>19813684.800000001</v>
      </c>
      <c r="AQ11" s="51">
        <f>SUM(AQ7:AQ10)</f>
        <v>36024.881454545459</v>
      </c>
      <c r="AR11" s="51">
        <f>SUM(AR7:AR10)</f>
        <v>26874.561565090909</v>
      </c>
      <c r="AS11" s="51">
        <f>SUM(AS7:AS10)</f>
        <v>235421159.31019634</v>
      </c>
      <c r="AT11" s="52">
        <f>AS11*$B$10</f>
        <v>58149026.349618495</v>
      </c>
      <c r="AU11" s="51">
        <f>AS11/$B$6</f>
        <v>21598.271496348287</v>
      </c>
      <c r="AV11" s="53">
        <f>AE18</f>
        <v>23581.006131951763</v>
      </c>
    </row>
    <row r="12" spans="1:48" x14ac:dyDescent="0.25">
      <c r="A12" s="5" t="s">
        <v>15</v>
      </c>
      <c r="C12" s="33" t="s">
        <v>29</v>
      </c>
      <c r="D12" s="34"/>
      <c r="N12" s="16" t="s">
        <v>76</v>
      </c>
      <c r="AC12" s="13"/>
      <c r="AK12" s="13"/>
      <c r="AL12" s="13"/>
    </row>
    <row r="13" spans="1:48" x14ac:dyDescent="0.25">
      <c r="A13" t="s">
        <v>21</v>
      </c>
      <c r="B13" s="21">
        <v>320</v>
      </c>
      <c r="C13" s="35">
        <f>B13*3.412/100511</f>
        <v>1.0862890628886389E-2</v>
      </c>
      <c r="D13" s="36" t="s">
        <v>28</v>
      </c>
      <c r="N13" s="41" t="s">
        <v>35</v>
      </c>
      <c r="O13" s="41" t="s">
        <v>40</v>
      </c>
      <c r="P13" s="41" t="s">
        <v>41</v>
      </c>
      <c r="Q13" s="41" t="s">
        <v>42</v>
      </c>
      <c r="R13" s="41"/>
      <c r="S13" s="41"/>
      <c r="T13" s="41"/>
      <c r="U13" s="41"/>
      <c r="V13" s="41" t="s">
        <v>50</v>
      </c>
      <c r="W13" s="41" t="s">
        <v>71</v>
      </c>
      <c r="X13" s="41" t="s">
        <v>51</v>
      </c>
      <c r="Y13" s="41" t="s">
        <v>56</v>
      </c>
      <c r="Z13" s="41" t="s">
        <v>57</v>
      </c>
      <c r="AA13" s="41" t="s">
        <v>58</v>
      </c>
      <c r="AB13" s="41" t="s">
        <v>43</v>
      </c>
      <c r="AC13" s="41" t="s">
        <v>47</v>
      </c>
      <c r="AD13" s="41" t="s">
        <v>44</v>
      </c>
      <c r="AE13" s="41" t="s">
        <v>45</v>
      </c>
      <c r="AF13" s="41"/>
      <c r="AI13" s="41" t="s">
        <v>41</v>
      </c>
      <c r="AJ13" s="41" t="s">
        <v>43</v>
      </c>
      <c r="AR13" s="41" t="s">
        <v>50</v>
      </c>
      <c r="AS13" s="41" t="s">
        <v>43</v>
      </c>
    </row>
    <row r="14" spans="1:48" x14ac:dyDescent="0.25">
      <c r="A14" t="s">
        <v>16</v>
      </c>
      <c r="B14" s="8">
        <f>B13*B18/1000</f>
        <v>4312.32</v>
      </c>
      <c r="C14" s="37">
        <f>B14*3412/100511</f>
        <v>146.388314114873</v>
      </c>
      <c r="D14" s="36" t="s">
        <v>26</v>
      </c>
      <c r="N14" s="24" t="s">
        <v>36</v>
      </c>
      <c r="O14" s="13">
        <v>325</v>
      </c>
      <c r="P14" s="13">
        <v>900</v>
      </c>
      <c r="Q14" s="13">
        <v>33</v>
      </c>
      <c r="R14" s="13"/>
      <c r="S14" s="13"/>
      <c r="T14" s="13"/>
      <c r="U14" s="13"/>
      <c r="V14" s="10">
        <f>V7</f>
        <v>1.3400673400673411</v>
      </c>
      <c r="W14" s="10">
        <f>V14/5280*3600</f>
        <v>0.9136822773186416</v>
      </c>
      <c r="X14" s="8">
        <f>P14*Q14*V14</f>
        <v>39800.000000000029</v>
      </c>
      <c r="Y14" s="8">
        <f>X14*62.4</f>
        <v>2483520.0000000019</v>
      </c>
      <c r="Z14" s="8">
        <f>Y14/550</f>
        <v>4515.4909090909123</v>
      </c>
      <c r="AA14" s="8">
        <f>Z14*746/1000</f>
        <v>3368.5562181818204</v>
      </c>
      <c r="AB14" s="8">
        <f>AA14*365*24</f>
        <v>29508552.471272744</v>
      </c>
      <c r="AC14" s="49">
        <f>AB14*$B$10</f>
        <v>7288612.4604043681</v>
      </c>
      <c r="AD14" s="8">
        <f>AB14/$B$6</f>
        <v>2707.2066487406187</v>
      </c>
      <c r="AE14" s="8">
        <f>AB14/$B$14</f>
        <v>6842.8485064356883</v>
      </c>
      <c r="AF14" s="23"/>
      <c r="AI14" s="9">
        <v>900</v>
      </c>
      <c r="AJ14" s="8">
        <f>AS7</f>
        <v>14754276.235636361</v>
      </c>
      <c r="AR14" s="14">
        <f>AL7</f>
        <v>1.34006734006734</v>
      </c>
      <c r="AS14" s="8">
        <f>AS7</f>
        <v>14754276.235636361</v>
      </c>
    </row>
    <row r="15" spans="1:48" x14ac:dyDescent="0.25">
      <c r="A15" t="s">
        <v>22</v>
      </c>
      <c r="B15" s="30">
        <f>B14*B10</f>
        <v>1065.1430399999999</v>
      </c>
      <c r="C15" s="38">
        <f>C14*B16</f>
        <v>433.30940978002405</v>
      </c>
      <c r="D15" s="36" t="s">
        <v>25</v>
      </c>
      <c r="N15" s="24" t="s">
        <v>37</v>
      </c>
      <c r="O15" s="13">
        <v>128</v>
      </c>
      <c r="P15" s="13">
        <v>1000</v>
      </c>
      <c r="Q15" s="13">
        <v>33</v>
      </c>
      <c r="R15" s="13"/>
      <c r="S15" s="13"/>
      <c r="T15" s="13"/>
      <c r="U15" s="13"/>
      <c r="V15" s="10">
        <f>V8</f>
        <v>0.76666666666666661</v>
      </c>
      <c r="W15" s="10">
        <f>V15/5280*3600</f>
        <v>0.52272727272727271</v>
      </c>
      <c r="X15" s="8">
        <f>P15*Q15*V15</f>
        <v>25299.999999999996</v>
      </c>
      <c r="Y15" s="8">
        <f>X15*62.4</f>
        <v>1578719.9999999998</v>
      </c>
      <c r="Z15" s="8">
        <f>Y15/550</f>
        <v>2870.3999999999996</v>
      </c>
      <c r="AA15" s="8">
        <f>Z15*746/1000</f>
        <v>2141.3184000000001</v>
      </c>
      <c r="AB15" s="8">
        <f>AA15*365*24</f>
        <v>18757949.184</v>
      </c>
      <c r="AC15" s="49">
        <f>AB15*$B$10</f>
        <v>4633213.4484480005</v>
      </c>
      <c r="AD15" s="8">
        <f>AB15/$B$6</f>
        <v>1720.912769174312</v>
      </c>
      <c r="AE15" s="8">
        <f>AB15/$B$14</f>
        <v>4349.8509349955484</v>
      </c>
      <c r="AF15" s="23"/>
      <c r="AI15" s="9">
        <v>1000</v>
      </c>
      <c r="AJ15" s="8">
        <f>AS8</f>
        <v>9378974.5920000002</v>
      </c>
      <c r="AR15" s="14">
        <f>AL8</f>
        <v>0.76666666666666672</v>
      </c>
      <c r="AS15" s="8">
        <f>AS8</f>
        <v>9378974.5920000002</v>
      </c>
    </row>
    <row r="16" spans="1:48" x14ac:dyDescent="0.25">
      <c r="A16" t="s">
        <v>23</v>
      </c>
      <c r="B16" s="29">
        <v>2.96</v>
      </c>
      <c r="C16" s="37"/>
      <c r="D16" s="36"/>
      <c r="N16" s="24" t="s">
        <v>38</v>
      </c>
      <c r="O16" s="13">
        <v>981</v>
      </c>
      <c r="P16" s="13">
        <v>1300</v>
      </c>
      <c r="Q16" s="13">
        <v>33</v>
      </c>
      <c r="R16" s="13"/>
      <c r="S16" s="13"/>
      <c r="T16" s="13"/>
      <c r="U16" s="13"/>
      <c r="V16" s="10">
        <f>V9</f>
        <v>1.5174825174825182</v>
      </c>
      <c r="W16" s="10">
        <f>V16/5280*3600</f>
        <v>1.0346471710108078</v>
      </c>
      <c r="X16" s="8">
        <f>SUM(X14,X15)</f>
        <v>65100.000000000029</v>
      </c>
      <c r="Y16" s="8">
        <f>X16*62.4</f>
        <v>4062240.0000000019</v>
      </c>
      <c r="Z16" s="8">
        <f>Y16/550</f>
        <v>7385.8909090909128</v>
      </c>
      <c r="AA16" s="8">
        <f>Z16*746/1000</f>
        <v>5509.8746181818206</v>
      </c>
      <c r="AB16" s="8">
        <f>AA16*365*24</f>
        <v>48266501.655272745</v>
      </c>
      <c r="AC16" s="49">
        <f>AB16*$B$10</f>
        <v>11921825.908852369</v>
      </c>
      <c r="AD16" s="8">
        <f>AB16/$B$6</f>
        <v>4428.1194179149306</v>
      </c>
      <c r="AE16" s="8">
        <f>AB16/$B$14</f>
        <v>11192.699441431236</v>
      </c>
      <c r="AF16" s="23"/>
      <c r="AI16" s="9">
        <v>1300</v>
      </c>
      <c r="AJ16" s="8">
        <f>AS9</f>
        <v>208709987.95636362</v>
      </c>
      <c r="AR16" s="14">
        <f>AL9</f>
        <v>3.7039473684210527</v>
      </c>
      <c r="AS16" s="8">
        <f>AS9</f>
        <v>208709987.95636362</v>
      </c>
    </row>
    <row r="17" spans="1:45" x14ac:dyDescent="0.25">
      <c r="A17" t="s">
        <v>24</v>
      </c>
      <c r="B17" s="31">
        <v>25</v>
      </c>
      <c r="C17" s="37">
        <f>B18/B17</f>
        <v>539.04</v>
      </c>
      <c r="D17" s="36" t="s">
        <v>26</v>
      </c>
      <c r="N17" s="24" t="s">
        <v>39</v>
      </c>
      <c r="O17" s="13">
        <v>122</v>
      </c>
      <c r="P17" s="13">
        <v>400</v>
      </c>
      <c r="Q17" s="13">
        <v>33</v>
      </c>
      <c r="R17" s="13"/>
      <c r="S17" s="13"/>
      <c r="T17" s="13"/>
      <c r="U17" s="13"/>
      <c r="V17" s="10">
        <f>V10</f>
        <v>0.52681818181818185</v>
      </c>
      <c r="W17" s="10">
        <f>V17/5280*3600</f>
        <v>0.35919421487603309</v>
      </c>
      <c r="X17" s="8">
        <f>P17*Q17*V17</f>
        <v>6954</v>
      </c>
      <c r="Y17" s="8">
        <f>X17*62.4</f>
        <v>433929.6</v>
      </c>
      <c r="Z17" s="8">
        <f>Y17/550</f>
        <v>788.96290909090908</v>
      </c>
      <c r="AA17" s="8">
        <f>Z17*746/1000</f>
        <v>588.56633018181822</v>
      </c>
      <c r="AB17" s="8">
        <f>AA17*365*24</f>
        <v>5155841.0523927277</v>
      </c>
      <c r="AC17" s="49">
        <f>AB17*$B$10</f>
        <v>1273492.7399410037</v>
      </c>
      <c r="AD17" s="8">
        <f>AB17/$B$6</f>
        <v>473.01294058648875</v>
      </c>
      <c r="AE17" s="8">
        <f>AB17/$B$14</f>
        <v>1195.6072490892902</v>
      </c>
      <c r="AF17" s="23"/>
      <c r="AI17" s="9">
        <v>400</v>
      </c>
      <c r="AJ17" s="8">
        <f>AS10</f>
        <v>2577920.5261963638</v>
      </c>
      <c r="AR17" s="14">
        <f>AL10</f>
        <v>0.52681818181818185</v>
      </c>
      <c r="AS17" s="8">
        <f>AS10</f>
        <v>2577920.5261963638</v>
      </c>
    </row>
    <row r="18" spans="1:45" x14ac:dyDescent="0.25">
      <c r="A18" t="s">
        <v>30</v>
      </c>
      <c r="B18" s="21">
        <v>13476</v>
      </c>
      <c r="C18" s="39">
        <f>C17*B16</f>
        <v>1595.5583999999999</v>
      </c>
      <c r="D18" s="40" t="s">
        <v>27</v>
      </c>
      <c r="V18" s="41"/>
      <c r="W18" s="41" t="s">
        <v>49</v>
      </c>
      <c r="X18" s="51">
        <f t="shared" ref="X18:AE18" si="2">SUM(X14:X17)</f>
        <v>137154.00000000006</v>
      </c>
      <c r="Y18" s="51">
        <f t="shared" si="2"/>
        <v>8558409.6000000034</v>
      </c>
      <c r="Z18" s="51">
        <f t="shared" si="2"/>
        <v>15560.744727272735</v>
      </c>
      <c r="AA18" s="51">
        <f t="shared" si="2"/>
        <v>11608.31556654546</v>
      </c>
      <c r="AB18" s="51">
        <f t="shared" si="2"/>
        <v>101688844.36293821</v>
      </c>
      <c r="AC18" s="57">
        <f t="shared" si="2"/>
        <v>25117144.557645742</v>
      </c>
      <c r="AD18" s="51">
        <f t="shared" si="2"/>
        <v>9329.2517764163495</v>
      </c>
      <c r="AE18" s="51">
        <f t="shared" si="2"/>
        <v>23581.006131951763</v>
      </c>
      <c r="AF18" s="42"/>
    </row>
    <row r="19" spans="1:45" x14ac:dyDescent="0.25">
      <c r="A19" t="s">
        <v>31</v>
      </c>
      <c r="B19" s="30">
        <f>C18-B15</f>
        <v>530.41535999999996</v>
      </c>
      <c r="N19" s="16" t="s">
        <v>77</v>
      </c>
      <c r="AC19" s="13"/>
      <c r="AI19" s="24" t="s">
        <v>88</v>
      </c>
      <c r="AJ19" s="60">
        <f>CORREL(AI14:AI17,AJ14:AJ17)</f>
        <v>0.74040494655502731</v>
      </c>
      <c r="AR19" s="24" t="s">
        <v>89</v>
      </c>
      <c r="AS19" s="60">
        <f>CORREL(AR14:AR17,AS14:AS17)</f>
        <v>0.98202725356989451</v>
      </c>
    </row>
    <row r="20" spans="1:45" x14ac:dyDescent="0.25">
      <c r="N20" s="41" t="s">
        <v>35</v>
      </c>
      <c r="O20" s="41" t="s">
        <v>40</v>
      </c>
      <c r="P20" s="41" t="s">
        <v>41</v>
      </c>
      <c r="Q20" s="41" t="s">
        <v>42</v>
      </c>
      <c r="R20" s="41"/>
      <c r="S20" s="41"/>
      <c r="T20" s="41"/>
      <c r="U20" s="41"/>
      <c r="V20" s="41" t="s">
        <v>50</v>
      </c>
      <c r="W20" s="41" t="s">
        <v>71</v>
      </c>
      <c r="X20" s="41" t="s">
        <v>51</v>
      </c>
      <c r="Y20" s="41" t="s">
        <v>56</v>
      </c>
      <c r="Z20" s="41" t="s">
        <v>57</v>
      </c>
      <c r="AA20" s="41" t="s">
        <v>58</v>
      </c>
      <c r="AB20" s="41" t="s">
        <v>43</v>
      </c>
      <c r="AC20" s="41" t="s">
        <v>47</v>
      </c>
      <c r="AD20" s="41" t="s">
        <v>44</v>
      </c>
      <c r="AE20" s="41" t="s">
        <v>45</v>
      </c>
      <c r="AF20" s="41"/>
    </row>
    <row r="21" spans="1:45" x14ac:dyDescent="0.25">
      <c r="A21" s="5" t="s">
        <v>4</v>
      </c>
      <c r="B21" s="13" t="s">
        <v>9</v>
      </c>
      <c r="C21" s="13" t="s">
        <v>18</v>
      </c>
      <c r="N21" s="24" t="s">
        <v>36</v>
      </c>
      <c r="O21" s="13">
        <v>325</v>
      </c>
      <c r="P21" s="22">
        <v>1800</v>
      </c>
      <c r="Q21" s="13">
        <v>16.5</v>
      </c>
      <c r="R21" s="13"/>
      <c r="S21" s="13"/>
      <c r="T21" s="13"/>
      <c r="U21" s="13"/>
      <c r="V21" s="10">
        <f>V14</f>
        <v>1.3400673400673411</v>
      </c>
      <c r="W21" s="10">
        <f>V21/5280*3600</f>
        <v>0.9136822773186416</v>
      </c>
      <c r="X21" s="8">
        <f>P21*Q21*V21</f>
        <v>39800.000000000029</v>
      </c>
      <c r="Y21" s="8">
        <f>X21*62.4</f>
        <v>2483520.0000000019</v>
      </c>
      <c r="Z21" s="8">
        <f>Y21/550</f>
        <v>4515.4909090909123</v>
      </c>
      <c r="AA21" s="8">
        <f>Z21*746/1000</f>
        <v>3368.5562181818204</v>
      </c>
      <c r="AB21" s="8">
        <f>AA21*365*24</f>
        <v>29508552.471272744</v>
      </c>
      <c r="AC21" s="49">
        <f>AB21*$B$10</f>
        <v>7288612.4604043681</v>
      </c>
      <c r="AD21" s="8">
        <f>AB21/$B$6</f>
        <v>2707.2066487406187</v>
      </c>
      <c r="AE21" s="8">
        <f>AB21/$B$14</f>
        <v>6842.8485064356883</v>
      </c>
      <c r="AF21" s="23"/>
    </row>
    <row r="22" spans="1:45" x14ac:dyDescent="0.25">
      <c r="A22" t="s">
        <v>10</v>
      </c>
      <c r="B22" s="6">
        <v>100</v>
      </c>
      <c r="C22" s="14">
        <f>B22/3.281</f>
        <v>30.478512648582747</v>
      </c>
      <c r="N22" s="24" t="s">
        <v>37</v>
      </c>
      <c r="O22" s="13">
        <v>128</v>
      </c>
      <c r="P22" s="22">
        <v>2000</v>
      </c>
      <c r="Q22" s="13">
        <v>16.5</v>
      </c>
      <c r="R22" s="13"/>
      <c r="S22" s="13"/>
      <c r="T22" s="13"/>
      <c r="U22" s="13"/>
      <c r="V22" s="10">
        <f>V15</f>
        <v>0.76666666666666661</v>
      </c>
      <c r="W22" s="10">
        <f>V22/5280*3600</f>
        <v>0.52272727272727271</v>
      </c>
      <c r="X22" s="8">
        <f>P22*Q22*V22</f>
        <v>25299.999999999996</v>
      </c>
      <c r="Y22" s="8">
        <f>X22*62.4</f>
        <v>1578719.9999999998</v>
      </c>
      <c r="Z22" s="8">
        <f>Y22/550</f>
        <v>2870.3999999999996</v>
      </c>
      <c r="AA22" s="8">
        <f>Z22*746/1000</f>
        <v>2141.3184000000001</v>
      </c>
      <c r="AB22" s="8">
        <f>AA22*365*24</f>
        <v>18757949.184</v>
      </c>
      <c r="AC22" s="49">
        <f>AB22*$B$10</f>
        <v>4633213.4484480005</v>
      </c>
      <c r="AD22" s="8">
        <f>AB22/$B$6</f>
        <v>1720.912769174312</v>
      </c>
      <c r="AE22" s="8">
        <f>AB22/$B$14</f>
        <v>4349.8509349955484</v>
      </c>
      <c r="AF22" s="23"/>
    </row>
    <row r="23" spans="1:45" x14ac:dyDescent="0.25">
      <c r="A23" t="s">
        <v>11</v>
      </c>
      <c r="B23" s="7">
        <v>16.5</v>
      </c>
      <c r="C23" s="14">
        <f t="shared" ref="C23:C24" si="3">B23/3.281</f>
        <v>5.0289545870161536</v>
      </c>
      <c r="E23" s="22"/>
      <c r="N23" s="24" t="s">
        <v>38</v>
      </c>
      <c r="O23" s="13">
        <v>981</v>
      </c>
      <c r="P23" s="22">
        <v>2600</v>
      </c>
      <c r="Q23" s="13">
        <v>16.5</v>
      </c>
      <c r="R23" s="13"/>
      <c r="S23" s="13"/>
      <c r="T23" s="13"/>
      <c r="U23" s="13"/>
      <c r="V23" s="10">
        <f>V16</f>
        <v>1.5174825174825182</v>
      </c>
      <c r="W23" s="10">
        <f>V23/5280*3600</f>
        <v>1.0346471710108078</v>
      </c>
      <c r="X23" s="8">
        <f>SUM(X21,X22)</f>
        <v>65100.000000000029</v>
      </c>
      <c r="Y23" s="8">
        <f>X23*62.4</f>
        <v>4062240.0000000019</v>
      </c>
      <c r="Z23" s="8">
        <f>Y23/550</f>
        <v>7385.8909090909128</v>
      </c>
      <c r="AA23" s="8">
        <f>Z23*746/1000</f>
        <v>5509.8746181818206</v>
      </c>
      <c r="AB23" s="8">
        <f>AA23*365*24</f>
        <v>48266501.655272745</v>
      </c>
      <c r="AC23" s="49">
        <f>AB23*$B$10</f>
        <v>11921825.908852369</v>
      </c>
      <c r="AD23" s="8">
        <f>AB23/$B$6</f>
        <v>4428.1194179149306</v>
      </c>
      <c r="AE23" s="8">
        <f>AB23/$B$14</f>
        <v>11192.699441431236</v>
      </c>
      <c r="AF23" s="23"/>
    </row>
    <row r="24" spans="1:45" x14ac:dyDescent="0.25">
      <c r="A24" t="s">
        <v>12</v>
      </c>
      <c r="B24" s="7">
        <v>11.7</v>
      </c>
      <c r="C24" s="26">
        <f t="shared" si="3"/>
        <v>3.5659859798841813</v>
      </c>
      <c r="E24" s="13"/>
      <c r="N24" s="24" t="s">
        <v>39</v>
      </c>
      <c r="O24" s="13">
        <v>122</v>
      </c>
      <c r="P24" s="13">
        <v>800</v>
      </c>
      <c r="Q24" s="13">
        <v>16.5</v>
      </c>
      <c r="R24" s="13"/>
      <c r="S24" s="13"/>
      <c r="T24" s="13"/>
      <c r="U24" s="13"/>
      <c r="V24" s="10">
        <f>V17</f>
        <v>0.52681818181818185</v>
      </c>
      <c r="W24" s="10">
        <f>V24/5280*3600</f>
        <v>0.35919421487603309</v>
      </c>
      <c r="X24" s="8">
        <f>P24*Q24*V24</f>
        <v>6954</v>
      </c>
      <c r="Y24" s="8">
        <f>X24*62.4</f>
        <v>433929.6</v>
      </c>
      <c r="Z24" s="8">
        <f>Y24/550</f>
        <v>788.96290909090908</v>
      </c>
      <c r="AA24" s="8">
        <f>Z24*746/1000</f>
        <v>588.56633018181822</v>
      </c>
      <c r="AB24" s="8">
        <f>AA24*365*24</f>
        <v>5155841.0523927277</v>
      </c>
      <c r="AC24" s="49">
        <f>AB24*$B$10</f>
        <v>1273492.7399410037</v>
      </c>
      <c r="AD24" s="8">
        <f>AB24/$B$6</f>
        <v>473.01294058648875</v>
      </c>
      <c r="AE24" s="8">
        <f>AB24/$B$14</f>
        <v>1195.6072490892902</v>
      </c>
      <c r="AF24" s="23"/>
    </row>
    <row r="25" spans="1:45" x14ac:dyDescent="0.25">
      <c r="A25" t="s">
        <v>14</v>
      </c>
      <c r="B25" s="9">
        <f>60*B24</f>
        <v>702</v>
      </c>
      <c r="C25" s="11">
        <f>60*C24</f>
        <v>213.95915879305088</v>
      </c>
      <c r="E25" s="13"/>
      <c r="F25" s="15"/>
      <c r="V25" s="41"/>
      <c r="W25" s="41" t="s">
        <v>49</v>
      </c>
      <c r="X25" s="51">
        <f t="shared" ref="X25:AE25" si="4">SUM(X21:X24)</f>
        <v>137154.00000000006</v>
      </c>
      <c r="Y25" s="51">
        <f t="shared" si="4"/>
        <v>8558409.6000000034</v>
      </c>
      <c r="Z25" s="51">
        <f t="shared" si="4"/>
        <v>15560.744727272735</v>
      </c>
      <c r="AA25" s="51">
        <f t="shared" si="4"/>
        <v>11608.31556654546</v>
      </c>
      <c r="AB25" s="51">
        <f t="shared" si="4"/>
        <v>101688844.36293821</v>
      </c>
      <c r="AC25" s="57">
        <f t="shared" si="4"/>
        <v>25117144.557645742</v>
      </c>
      <c r="AD25" s="51">
        <f t="shared" si="4"/>
        <v>9329.2517764163495</v>
      </c>
      <c r="AE25" s="51">
        <f t="shared" si="4"/>
        <v>23581.006131951763</v>
      </c>
      <c r="AF25" s="42"/>
    </row>
    <row r="26" spans="1:45" x14ac:dyDescent="0.25">
      <c r="A26" t="s">
        <v>13</v>
      </c>
      <c r="B26" s="10">
        <f>B25*60/5280</f>
        <v>7.9772727272727275</v>
      </c>
      <c r="C26" s="14">
        <f>B26*1.61</f>
        <v>12.843409090909091</v>
      </c>
    </row>
    <row r="27" spans="1:45" x14ac:dyDescent="0.25">
      <c r="A27" t="s">
        <v>72</v>
      </c>
      <c r="B27" s="8">
        <f>B22*B23*B24</f>
        <v>19305</v>
      </c>
      <c r="D27" s="24"/>
      <c r="E27" s="23"/>
      <c r="N27" s="16" t="s">
        <v>78</v>
      </c>
    </row>
    <row r="28" spans="1:45" x14ac:dyDescent="0.25">
      <c r="A28" t="s">
        <v>73</v>
      </c>
      <c r="B28" s="8">
        <f>B27*62.4</f>
        <v>1204632</v>
      </c>
      <c r="D28" s="25"/>
      <c r="E28" s="13"/>
      <c r="N28" s="41" t="s">
        <v>35</v>
      </c>
      <c r="O28" s="41" t="s">
        <v>40</v>
      </c>
      <c r="P28" s="41" t="s">
        <v>41</v>
      </c>
      <c r="Q28" s="41" t="s">
        <v>42</v>
      </c>
      <c r="R28" s="41"/>
      <c r="S28" s="41"/>
      <c r="T28" s="41"/>
      <c r="U28" s="41"/>
      <c r="V28" s="41" t="s">
        <v>50</v>
      </c>
      <c r="W28" s="41" t="s">
        <v>71</v>
      </c>
      <c r="X28" s="41" t="s">
        <v>51</v>
      </c>
      <c r="Y28" s="41" t="s">
        <v>56</v>
      </c>
      <c r="Z28" s="41" t="s">
        <v>57</v>
      </c>
      <c r="AA28" s="41" t="s">
        <v>58</v>
      </c>
      <c r="AB28" s="41" t="s">
        <v>43</v>
      </c>
      <c r="AC28" s="41" t="s">
        <v>47</v>
      </c>
      <c r="AD28" s="41" t="s">
        <v>44</v>
      </c>
      <c r="AE28" s="41" t="s">
        <v>45</v>
      </c>
    </row>
    <row r="29" spans="1:45" x14ac:dyDescent="0.25">
      <c r="A29" t="s">
        <v>5</v>
      </c>
      <c r="B29" s="8">
        <f>B28/550</f>
        <v>2190.2399999999998</v>
      </c>
      <c r="D29" s="28"/>
      <c r="E29" s="15"/>
      <c r="N29" s="24" t="s">
        <v>36</v>
      </c>
      <c r="O29" s="13">
        <v>325</v>
      </c>
      <c r="P29" s="13">
        <v>900</v>
      </c>
      <c r="Q29" s="13">
        <v>16.5</v>
      </c>
      <c r="R29" s="13"/>
      <c r="S29" s="13"/>
      <c r="T29" s="13"/>
      <c r="U29" s="13"/>
      <c r="V29" s="10">
        <f>V7*2</f>
        <v>2.6801346801346821</v>
      </c>
      <c r="W29" s="10">
        <f>V29/5280*3600</f>
        <v>1.8273645546372832</v>
      </c>
      <c r="X29" s="8">
        <f>P29*Q29*V29</f>
        <v>39800.000000000029</v>
      </c>
      <c r="Y29" s="8">
        <f>X29*62.4</f>
        <v>2483520.0000000019</v>
      </c>
      <c r="Z29" s="8">
        <f>Y29/550</f>
        <v>4515.4909090909123</v>
      </c>
      <c r="AA29" s="8">
        <f>Z29*746/1000</f>
        <v>3368.5562181818204</v>
      </c>
      <c r="AB29" s="8">
        <f>AA29*365*24</f>
        <v>29508552.471272744</v>
      </c>
      <c r="AC29" s="49">
        <f>AB29*$B$10</f>
        <v>7288612.4604043681</v>
      </c>
      <c r="AD29" s="8">
        <f>AB29/$B$6</f>
        <v>2707.2066487406187</v>
      </c>
      <c r="AE29" s="8">
        <f>AB29/$B$14</f>
        <v>6842.8485064356883</v>
      </c>
    </row>
    <row r="30" spans="1:45" x14ac:dyDescent="0.25">
      <c r="A30" t="s">
        <v>6</v>
      </c>
      <c r="C30" s="8">
        <f>B29*746/1000</f>
        <v>1633.9190399999998</v>
      </c>
      <c r="D30" s="27"/>
      <c r="E30" s="13"/>
      <c r="N30" s="24" t="s">
        <v>37</v>
      </c>
      <c r="O30" s="13">
        <v>128</v>
      </c>
      <c r="P30" s="13">
        <v>1000</v>
      </c>
      <c r="Q30" s="13">
        <v>16.5</v>
      </c>
      <c r="R30" s="13"/>
      <c r="S30" s="13"/>
      <c r="T30" s="13"/>
      <c r="U30" s="13"/>
      <c r="V30" s="10">
        <f>V8*2</f>
        <v>1.5333333333333332</v>
      </c>
      <c r="W30" s="10">
        <f>V30/5280*3600</f>
        <v>1.0454545454545454</v>
      </c>
      <c r="X30" s="8">
        <f>P30*Q30*V30</f>
        <v>25299.999999999996</v>
      </c>
      <c r="Y30" s="8">
        <f>X30*62.4</f>
        <v>1578719.9999999998</v>
      </c>
      <c r="Z30" s="8">
        <f>Y30/550</f>
        <v>2870.3999999999996</v>
      </c>
      <c r="AA30" s="8">
        <f>Z30*746/1000</f>
        <v>2141.3184000000001</v>
      </c>
      <c r="AB30" s="8">
        <f>AA30*365*24</f>
        <v>18757949.184</v>
      </c>
      <c r="AC30" s="49">
        <f>AB30*$B$10</f>
        <v>4633213.4484480005</v>
      </c>
      <c r="AD30" s="8">
        <f>AB30/$B$6</f>
        <v>1720.912769174312</v>
      </c>
      <c r="AE30" s="8">
        <f>AB30/$B$14</f>
        <v>4349.8509349955484</v>
      </c>
    </row>
    <row r="31" spans="1:45" x14ac:dyDescent="0.25">
      <c r="A31" t="s">
        <v>7</v>
      </c>
      <c r="C31" s="8">
        <f>C30*365*24</f>
        <v>14313130.790399998</v>
      </c>
      <c r="D31" s="15"/>
      <c r="E31" s="13"/>
      <c r="N31" s="24" t="s">
        <v>38</v>
      </c>
      <c r="O31" s="13">
        <v>981</v>
      </c>
      <c r="P31" s="13">
        <v>1300</v>
      </c>
      <c r="Q31" s="13">
        <v>16.5</v>
      </c>
      <c r="R31" s="13"/>
      <c r="S31" s="13"/>
      <c r="T31" s="13"/>
      <c r="U31" s="13"/>
      <c r="V31" s="10">
        <f>V9*2</f>
        <v>3.0349650349650363</v>
      </c>
      <c r="W31" s="10">
        <f>V31/5280*3600</f>
        <v>2.0692943420216157</v>
      </c>
      <c r="X31" s="8">
        <f>SUM(X29,X30)</f>
        <v>65100.000000000029</v>
      </c>
      <c r="Y31" s="8">
        <f>X31*62.4</f>
        <v>4062240.0000000019</v>
      </c>
      <c r="Z31" s="8">
        <f>Y31/550</f>
        <v>7385.8909090909128</v>
      </c>
      <c r="AA31" s="8">
        <f>Z31*746/1000</f>
        <v>5509.8746181818206</v>
      </c>
      <c r="AB31" s="8">
        <f>AA31*365*24</f>
        <v>48266501.655272745</v>
      </c>
      <c r="AC31" s="49">
        <f>AB31*$B$10</f>
        <v>11921825.908852369</v>
      </c>
      <c r="AD31" s="8">
        <f>AB31/$B$6</f>
        <v>4428.1194179149306</v>
      </c>
      <c r="AE31" s="8">
        <f>AB31/$B$14</f>
        <v>11192.699441431236</v>
      </c>
    </row>
    <row r="32" spans="1:45" x14ac:dyDescent="0.25">
      <c r="A32" s="15" t="s">
        <v>33</v>
      </c>
      <c r="B32" s="30">
        <f>B10*C31</f>
        <v>3535343.3052287996</v>
      </c>
      <c r="C32" s="32" t="s">
        <v>74</v>
      </c>
      <c r="D32" s="15"/>
      <c r="N32" s="24" t="s">
        <v>39</v>
      </c>
      <c r="O32" s="13">
        <v>122</v>
      </c>
      <c r="P32" s="13">
        <v>400</v>
      </c>
      <c r="Q32" s="13">
        <v>16.5</v>
      </c>
      <c r="R32" s="13"/>
      <c r="S32" s="13"/>
      <c r="T32" s="13"/>
      <c r="U32" s="13"/>
      <c r="V32" s="10">
        <f>V10*2</f>
        <v>1.0536363636363637</v>
      </c>
      <c r="W32" s="10">
        <f>V32/5280*3600</f>
        <v>0.71838842975206618</v>
      </c>
      <c r="X32" s="8">
        <f>P32*Q32*V32</f>
        <v>6954</v>
      </c>
      <c r="Y32" s="8">
        <f>X32*62.4</f>
        <v>433929.6</v>
      </c>
      <c r="Z32" s="8">
        <f>Y32/550</f>
        <v>788.96290909090908</v>
      </c>
      <c r="AA32" s="8">
        <f>Z32*746/1000</f>
        <v>588.56633018181822</v>
      </c>
      <c r="AB32" s="8">
        <f>AA32*365*24</f>
        <v>5155841.0523927277</v>
      </c>
      <c r="AC32" s="49">
        <f>AB32*$B$10</f>
        <v>1273492.7399410037</v>
      </c>
      <c r="AD32" s="8">
        <f>AB32/$B$6</f>
        <v>473.01294058648875</v>
      </c>
      <c r="AE32" s="8">
        <f>AB32/$B$14</f>
        <v>1195.6072490892902</v>
      </c>
    </row>
    <row r="33" spans="1:31" x14ac:dyDescent="0.25">
      <c r="A33" t="s">
        <v>8</v>
      </c>
      <c r="B33" s="8">
        <f>C31/B6</f>
        <v>1313.1312651743117</v>
      </c>
      <c r="D33" s="15"/>
      <c r="V33" s="41"/>
      <c r="W33" s="41" t="s">
        <v>49</v>
      </c>
      <c r="X33" s="51">
        <f t="shared" ref="X33:AE33" si="5">SUM(X29:X32)</f>
        <v>137154.00000000006</v>
      </c>
      <c r="Y33" s="51">
        <f t="shared" si="5"/>
        <v>8558409.6000000034</v>
      </c>
      <c r="Z33" s="51">
        <f t="shared" si="5"/>
        <v>15560.744727272735</v>
      </c>
      <c r="AA33" s="51">
        <f t="shared" si="5"/>
        <v>11608.31556654546</v>
      </c>
      <c r="AB33" s="51">
        <f t="shared" si="5"/>
        <v>101688844.36293821</v>
      </c>
      <c r="AC33" s="57">
        <f t="shared" si="5"/>
        <v>25117144.557645742</v>
      </c>
      <c r="AD33" s="51">
        <f t="shared" si="5"/>
        <v>9329.2517764163495</v>
      </c>
      <c r="AE33" s="51">
        <f t="shared" si="5"/>
        <v>23581.006131951763</v>
      </c>
    </row>
    <row r="34" spans="1:31" x14ac:dyDescent="0.25">
      <c r="A34" t="s">
        <v>17</v>
      </c>
      <c r="B34" s="8">
        <f>C31/B14</f>
        <v>3319.1253873552982</v>
      </c>
      <c r="D34" s="15"/>
    </row>
    <row r="35" spans="1:31" x14ac:dyDescent="0.25">
      <c r="P35" s="24" t="s">
        <v>97</v>
      </c>
      <c r="Q35" s="60">
        <f>CORREL(R7:R10,AB7:AB10)</f>
        <v>0.86019012022154095</v>
      </c>
    </row>
    <row r="36" spans="1:31" ht="18.75" x14ac:dyDescent="0.3">
      <c r="D36" s="15"/>
      <c r="P36" s="24" t="s">
        <v>87</v>
      </c>
      <c r="Q36" s="60">
        <f>CORREL(U7:U10,V7:V10)</f>
        <v>0.7794875213842567</v>
      </c>
      <c r="W36" s="81" t="s">
        <v>92</v>
      </c>
    </row>
    <row r="37" spans="1:31" x14ac:dyDescent="0.25">
      <c r="P37" s="24" t="s">
        <v>90</v>
      </c>
      <c r="Q37" s="60">
        <f>CORREL(O7:O10,P7:P10)</f>
        <v>0.75567652967875665</v>
      </c>
      <c r="W37" s="41" t="s">
        <v>149</v>
      </c>
    </row>
    <row r="38" spans="1:31" ht="30" x14ac:dyDescent="0.25">
      <c r="P38" s="24" t="s">
        <v>91</v>
      </c>
      <c r="Q38" s="10">
        <f>CORREL(O7:O10,S7:S10)</f>
        <v>-0.40370355577752598</v>
      </c>
      <c r="W38" s="80" t="s">
        <v>61</v>
      </c>
      <c r="X38" s="5"/>
    </row>
    <row r="39" spans="1:31" ht="18" customHeight="1" x14ac:dyDescent="0.25">
      <c r="P39" s="24"/>
      <c r="V39" s="47" t="s">
        <v>60</v>
      </c>
      <c r="W39" s="42">
        <f>AB10</f>
        <v>2577920.5261963638</v>
      </c>
      <c r="X39" s="16" t="s">
        <v>150</v>
      </c>
    </row>
    <row r="40" spans="1:31" ht="21" x14ac:dyDescent="0.35">
      <c r="A40" s="71" t="s">
        <v>127</v>
      </c>
      <c r="B40" s="70"/>
      <c r="C40" s="72" t="s">
        <v>145</v>
      </c>
      <c r="D40" s="70"/>
      <c r="E40" s="70"/>
      <c r="F40" s="70"/>
      <c r="G40" s="70"/>
      <c r="H40" s="70"/>
      <c r="I40" s="70" t="s">
        <v>146</v>
      </c>
      <c r="J40" s="70"/>
      <c r="K40" s="70"/>
      <c r="L40" s="70"/>
      <c r="M40" s="70"/>
      <c r="N40" s="70"/>
      <c r="O40" s="69"/>
      <c r="P40" s="70"/>
      <c r="V40" s="24" t="s">
        <v>79</v>
      </c>
      <c r="W40" s="22">
        <f>AB17-AB10</f>
        <v>2577920.5261963638</v>
      </c>
      <c r="X40" s="45">
        <f>W40/W39</f>
        <v>1</v>
      </c>
      <c r="Y40" t="s">
        <v>93</v>
      </c>
    </row>
    <row r="41" spans="1:31" x14ac:dyDescent="0.25">
      <c r="V41" s="24" t="s">
        <v>80</v>
      </c>
      <c r="W41" s="22">
        <f>AB24-AB10</f>
        <v>2577920.5261963638</v>
      </c>
      <c r="X41" s="43">
        <f>W41/W39</f>
        <v>1</v>
      </c>
      <c r="Y41" t="s">
        <v>94</v>
      </c>
    </row>
    <row r="42" spans="1:31" x14ac:dyDescent="0.25">
      <c r="A42" s="3" t="s">
        <v>98</v>
      </c>
      <c r="B42" s="4"/>
      <c r="C42" s="62"/>
      <c r="D42" s="62" t="s">
        <v>105</v>
      </c>
      <c r="E42" s="62"/>
      <c r="F42" s="62"/>
      <c r="G42" s="62"/>
      <c r="V42" s="24" t="s">
        <v>81</v>
      </c>
      <c r="W42" s="22">
        <f>AC32-AC10</f>
        <v>636746.36997050187</v>
      </c>
      <c r="X42" s="43">
        <f>W42/W40</f>
        <v>0.247</v>
      </c>
      <c r="Y42" t="s">
        <v>95</v>
      </c>
    </row>
    <row r="43" spans="1:31" x14ac:dyDescent="0.25">
      <c r="B43" s="13" t="s">
        <v>41</v>
      </c>
      <c r="C43" s="13" t="s">
        <v>42</v>
      </c>
      <c r="D43" s="13" t="s">
        <v>100</v>
      </c>
      <c r="E43" s="13" t="s">
        <v>50</v>
      </c>
      <c r="F43" s="13" t="s">
        <v>51</v>
      </c>
      <c r="G43" s="13" t="s">
        <v>99</v>
      </c>
    </row>
    <row r="44" spans="1:31" x14ac:dyDescent="0.25">
      <c r="B44" s="7">
        <v>900</v>
      </c>
      <c r="C44" s="7">
        <v>16.5</v>
      </c>
      <c r="D44" s="8">
        <f>B44*C44</f>
        <v>14850</v>
      </c>
      <c r="E44" s="7">
        <v>1.3</v>
      </c>
      <c r="F44" s="6">
        <v>19900</v>
      </c>
      <c r="G44" s="8">
        <f>0.5*62.4*POWER(E44,2)</f>
        <v>52.728000000000002</v>
      </c>
    </row>
    <row r="46" spans="1:31" x14ac:dyDescent="0.25">
      <c r="B46" s="62"/>
      <c r="C46" s="62"/>
      <c r="D46" s="62" t="s">
        <v>106</v>
      </c>
      <c r="E46" s="4"/>
      <c r="F46" s="4"/>
      <c r="G46" s="63" t="s">
        <v>107</v>
      </c>
      <c r="H46" s="4"/>
      <c r="I46" s="4"/>
      <c r="J46" s="4"/>
      <c r="K46" s="4"/>
    </row>
    <row r="47" spans="1:31" x14ac:dyDescent="0.25">
      <c r="B47" s="13" t="s">
        <v>41</v>
      </c>
      <c r="C47" s="13" t="s">
        <v>42</v>
      </c>
      <c r="D47" s="13" t="s">
        <v>100</v>
      </c>
      <c r="E47" s="13" t="s">
        <v>50</v>
      </c>
      <c r="F47" s="13" t="s">
        <v>51</v>
      </c>
      <c r="G47" s="13" t="s">
        <v>99</v>
      </c>
      <c r="H47" s="13" t="s">
        <v>103</v>
      </c>
      <c r="I47" s="13" t="s">
        <v>104</v>
      </c>
      <c r="J47" s="13" t="s">
        <v>101</v>
      </c>
      <c r="K47" s="41" t="s">
        <v>102</v>
      </c>
    </row>
    <row r="48" spans="1:31" x14ac:dyDescent="0.25">
      <c r="B48" s="7">
        <v>100</v>
      </c>
      <c r="C48" s="7">
        <v>16.5</v>
      </c>
      <c r="D48" s="8">
        <f>B48*C48</f>
        <v>1650</v>
      </c>
      <c r="E48" s="9">
        <f>B44/B48*E44</f>
        <v>11.700000000000001</v>
      </c>
      <c r="F48" s="8">
        <f>F44*B44/B48</f>
        <v>179100</v>
      </c>
      <c r="G48" s="8">
        <f>0.5*62.4*POWER(E48,2)</f>
        <v>4270.9680000000008</v>
      </c>
      <c r="H48" s="8">
        <f>G48-G44</f>
        <v>4218.2400000000007</v>
      </c>
      <c r="I48" s="61">
        <f>H48/G44</f>
        <v>80.000000000000014</v>
      </c>
      <c r="J48" s="46">
        <f>D48/D44</f>
        <v>0.1111111111111111</v>
      </c>
      <c r="K48" s="73">
        <f>I48*J48</f>
        <v>8.8888888888888893</v>
      </c>
    </row>
    <row r="50" spans="1:11" x14ac:dyDescent="0.25">
      <c r="B50" t="s">
        <v>108</v>
      </c>
    </row>
    <row r="56" spans="1:11" x14ac:dyDescent="0.25">
      <c r="A56" s="3" t="s">
        <v>124</v>
      </c>
      <c r="B56" s="4"/>
      <c r="C56" s="62"/>
      <c r="D56" s="62" t="s">
        <v>105</v>
      </c>
      <c r="E56" s="62"/>
      <c r="F56" s="62"/>
      <c r="G56" s="62"/>
      <c r="H56" s="4"/>
      <c r="I56" s="4"/>
      <c r="J56" s="4"/>
      <c r="K56" s="4"/>
    </row>
    <row r="57" spans="1:11" ht="30" x14ac:dyDescent="0.25">
      <c r="B57" s="13" t="s">
        <v>110</v>
      </c>
      <c r="C57" s="13" t="s">
        <v>111</v>
      </c>
      <c r="D57" t="s">
        <v>114</v>
      </c>
      <c r="E57" t="s">
        <v>116</v>
      </c>
      <c r="F57" s="13" t="s">
        <v>115</v>
      </c>
      <c r="G57" s="13" t="s">
        <v>130</v>
      </c>
      <c r="H57" s="13" t="s">
        <v>131</v>
      </c>
      <c r="I57" s="77" t="s">
        <v>139</v>
      </c>
      <c r="J57" s="13" t="s">
        <v>140</v>
      </c>
      <c r="K57" s="13" t="s">
        <v>141</v>
      </c>
    </row>
    <row r="58" spans="1:11" x14ac:dyDescent="0.25">
      <c r="B58" s="7">
        <v>16.5</v>
      </c>
      <c r="C58" s="7">
        <v>900</v>
      </c>
      <c r="D58" s="7">
        <v>-0.14000000000000001</v>
      </c>
      <c r="E58" s="68">
        <v>1</v>
      </c>
      <c r="F58" s="64">
        <f>TAN(RADIANS(D58))</f>
        <v>-2.4434658156993775E-3</v>
      </c>
      <c r="G58" s="6">
        <v>14754276</v>
      </c>
      <c r="H58" s="74">
        <v>0.25</v>
      </c>
      <c r="I58" s="49">
        <f>G58*H58</f>
        <v>3688569</v>
      </c>
      <c r="J58" s="78">
        <v>0.1</v>
      </c>
      <c r="K58" s="49">
        <f>I58/J58</f>
        <v>36885690</v>
      </c>
    </row>
    <row r="60" spans="1:11" x14ac:dyDescent="0.25">
      <c r="B60" s="4"/>
      <c r="C60" s="62"/>
      <c r="D60" s="62" t="s">
        <v>142</v>
      </c>
      <c r="E60" s="62"/>
      <c r="F60" s="62"/>
      <c r="G60" s="62"/>
      <c r="H60" s="4"/>
      <c r="I60" s="4"/>
      <c r="J60" s="4"/>
      <c r="K60" s="4"/>
    </row>
    <row r="61" spans="1:11" ht="30" x14ac:dyDescent="0.25">
      <c r="B61" s="13" t="s">
        <v>121</v>
      </c>
      <c r="C61" s="13" t="s">
        <v>117</v>
      </c>
      <c r="D61" s="13" t="s">
        <v>118</v>
      </c>
      <c r="E61" s="13" t="s">
        <v>123</v>
      </c>
      <c r="F61" s="13" t="s">
        <v>119</v>
      </c>
      <c r="G61" s="13" t="s">
        <v>120</v>
      </c>
      <c r="H61" s="13" t="s">
        <v>102</v>
      </c>
      <c r="I61" s="13" t="s">
        <v>132</v>
      </c>
      <c r="J61" s="77" t="s">
        <v>138</v>
      </c>
      <c r="K61" s="13" t="s">
        <v>141</v>
      </c>
    </row>
    <row r="62" spans="1:11" x14ac:dyDescent="0.25">
      <c r="B62" s="6">
        <v>1000</v>
      </c>
      <c r="C62" s="7">
        <v>-0.28000000000000003</v>
      </c>
      <c r="D62" s="65">
        <f>TAN(RADIANS(C62))</f>
        <v>-4.8869608091213811E-3</v>
      </c>
      <c r="E62" s="10">
        <f>C62*V11/U11</f>
        <v>2.0071708660227365</v>
      </c>
      <c r="F62" s="11">
        <f>-D62*B62+(F58*B62)</f>
        <v>2.4434949934220032</v>
      </c>
      <c r="G62" s="11">
        <f>B58+F62</f>
        <v>18.943494993422004</v>
      </c>
      <c r="H62" s="61">
        <f>0.5*62.4*POWER(E62,2)/(0.5*62.4*POWER(E58,2))</f>
        <v>4.0287348854104623</v>
      </c>
      <c r="I62" s="75">
        <f>H62*I58</f>
        <v>14860266.607543584</v>
      </c>
      <c r="J62" s="75">
        <f>I62-I58</f>
        <v>11171697.607543584</v>
      </c>
      <c r="K62" s="49">
        <f>J62/J58</f>
        <v>111716976.07543583</v>
      </c>
    </row>
    <row r="64" spans="1:11" x14ac:dyDescent="0.25">
      <c r="B64" s="4"/>
      <c r="C64" s="62"/>
      <c r="D64" s="62" t="s">
        <v>143</v>
      </c>
      <c r="E64" s="62"/>
    </row>
    <row r="65" spans="2:8" ht="30" x14ac:dyDescent="0.25">
      <c r="B65" t="s">
        <v>112</v>
      </c>
      <c r="C65" t="s">
        <v>113</v>
      </c>
      <c r="D65" s="77" t="s">
        <v>129</v>
      </c>
      <c r="E65" s="66" t="s">
        <v>122</v>
      </c>
    </row>
    <row r="66" spans="2:8" x14ac:dyDescent="0.25">
      <c r="B66" s="8">
        <f>0.5*(G62-B58)*B62-(0.5*(F58*B62)*B62)*C58</f>
        <v>1100781.3645614311</v>
      </c>
      <c r="C66" s="8">
        <f>B66/27</f>
        <v>40769.680168941893</v>
      </c>
      <c r="D66" s="67">
        <v>15</v>
      </c>
      <c r="E66" s="76">
        <f>C66*D66</f>
        <v>611545.20253412845</v>
      </c>
    </row>
    <row r="68" spans="2:8" x14ac:dyDescent="0.25">
      <c r="B68" s="4"/>
      <c r="C68" s="62"/>
      <c r="D68" s="62" t="s">
        <v>144</v>
      </c>
      <c r="E68" s="62"/>
      <c r="F68" s="62"/>
      <c r="G68" s="62"/>
      <c r="H68" s="62"/>
    </row>
    <row r="69" spans="2:8" ht="30" x14ac:dyDescent="0.25">
      <c r="B69" s="77" t="s">
        <v>134</v>
      </c>
      <c r="C69" s="13" t="s">
        <v>147</v>
      </c>
      <c r="D69" s="77" t="s">
        <v>133</v>
      </c>
      <c r="E69" t="s">
        <v>135</v>
      </c>
      <c r="F69" t="s">
        <v>136</v>
      </c>
      <c r="G69" t="s">
        <v>137</v>
      </c>
      <c r="H69" s="13" t="s">
        <v>148</v>
      </c>
    </row>
    <row r="70" spans="2:8" x14ac:dyDescent="0.25">
      <c r="B70" s="67">
        <v>6</v>
      </c>
      <c r="C70" s="67">
        <v>35000</v>
      </c>
      <c r="D70" s="49">
        <f>B70*C66+C70</f>
        <v>279618.08101365133</v>
      </c>
      <c r="E70" s="49">
        <f>K62</f>
        <v>111716976.07543583</v>
      </c>
      <c r="F70" s="49">
        <f>E66</f>
        <v>611545.20253412845</v>
      </c>
      <c r="G70" s="49">
        <f>E70+F70-D70</f>
        <v>112048903.19695631</v>
      </c>
      <c r="H70" s="79">
        <f>G70/D70</f>
        <v>400.72123659086958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0 9 D C F 1 A D - B A D E - 4 1 A E - A 9 C 9 - F B 9 C E B 3 9 3 D 3 D } "   T o u r I d = " 0 1 b 5 5 5 d 1 - 0 e 6 9 - 4 0 7 1 - 9 2 6 e - 6 8 7 d 6 6 e 0 a 3 9 3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D 7 N S U R B V H h e 5 X 1 Z c x x H k q b X X Q A K 9 3 0 T v A + R E k l d L Y m S W l L P H j b d N r Y P + z A P a 2 v 7 s L 9 j f 8 r u w 4 z Z z K 7 t m u 3 0 d L d 6 d F B n S 6 J E i i I l U i R A k L j v + 6 i 7 1 r + I j M q o r M y s z E I B K O 1 8 Q C A y I w u V V 3 z h H h 4 e H o H f f 3 6 r Q H W E l r 6 L l E w 3 U j a b o 1 w u R / l 8 n g q F g k j A u e 4 M D b V l i / s K 9 x c i 1 N e c o 6 4 m + X k r N j Y 2 q K 2 t z d j z h / 1 M g B o i 8 j t / 4 v P M b Y X E t s J 7 Z 5 M i z 2 Y z F A 5 H x L Y V u K S J 1 T C d 7 s o a J Z V x d y 5 C z w 9 k j L 1 y p L I B C n A e D R c o k w t Q J C S v 8 b u Z K K 3 v B c W 2 E 9 Q 1 f / A o T q F g g X 5 9 O k V 7 6 Q B 9 + T R G c f 6 + 5 w f 5 v H z R E 6 s R W t l 1 / y 4 g w B f S z 8 / / Y p / z 9 X 4 8 H q d c 3 t h h B P B P D l D H 9 B w p G A y K l G g M U 0 / T F k 0 8 e S S O 1 w t C f / t f / u t / M 7 a P H R 1 D V 2 g / F X c k E / I c b / Y 3 Z + m r Z z H q Z P J 8 O h G n k f Y s k y l P i 9 t B m l o P U S 9 v 6 1 h Y W K C u r i 5 j z w Q q Y a h y X e G K K g n x 4 e O 4 I A S / T z r f k 6 X z v R l q i h Y o E Z P X F w y W E k 0 H 6 k V H Y + l 1 5 f N c K H 9 t g X t y Q 5 i v I 1 8 I 0 N J O i F o b 8 C x i 9 H Q 9 T L t p 9 5 u 6 c S r N / y u v e Z d J 9 M p o W m z j + 7 a S A d p O B W l 2 M 0 R B U Y F J 7 H s B P r f K R O 5 v y Y n 7 t W K s I y v I i Y Z A w Q + p d H A V o d 1 M A w 3 0 N N L W 5 p p R e v y o G w n V e + p F l i J c y T P O Z O p N 5 O i 5 f v n y 0 b L G W R i 8 M Z b k S k U 0 v R G i R 0 t h e u N k S r S w C n N z 8 z Q w 0 G / s H Q x T G 2 E a Y e n o h B m u h J 1 M G i X N U F l B u M P G E 5 Z 8 k 2 t h e n k 4 R V 9 P x Y x S d z R x I / C r U S m V G i 3 X m G S J / A 1 / T 5 o r b b U A w V 8 a l u 9 K B y T n D / N R b s y M A o Y f U i F H g p Q K h U I U 4 d a u s 3 m X 5 p 4 + E M e P G 0 y o b w / / j V d A O N Z I i f Y L t L U n i Q R C 6 W Q K B q C S J A V h m m N 5 o d 5 Z o T 6 r V B l g Z m a W h o Y G j T 1 3 5 P M 5 R w l z f z 7 C R C 5 X Z S A R r d I Q w K X g / W c y a X 7 h U a O 0 d s D 3 f / Y k R m + e S g k V 6 v P J u F C F f 1 y M i G N O 0 J + N D j R O k M J v n S o 9 j u + G m n Y Q n O 3 J c C N U y k x I 1 Y 8 e l x K / G l K B U J J U Q c p u P 6 B s a k 8 c P 0 4 E / v m L 4 y d U v O s 6 Z d J 5 S k Q z l M n m W Z 1 K c y u f p x A T K c f i Z 3 m H W z X u T 4 B M L 4 2 k 6 Q v W 8 1 P c i g K K S A r v n E k y A V m a P J u i k d E R o 7 S 2 m G G 1 s r 8 1 z w Q s 0 B K T K s W q o 1 5 p c E l 3 u R U e b M l S I 2 1 S Y 1 P C t c L Y I c l q E V R S 3 L M b I J 0 / Y l V U J w s I Y k U b S 4 w X D Y n x 8 3 K E N k Q f q 0 A v 8 / N 0 u z T c y 6 P l M G s A Y a P E P 9 D H w 7 n D f B 6 o p D u p A G s X B Z p j i W 6 F 0 3 P S y a R y 1 Z 8 C q a J R f g 8 r 3 / E d H S + O n V A N 3 d c p l Z J S C d J J q X q A n l 8 Z S I s K 9 o B b Y Q U r m R R A q g / + 5 Q O 6 c O E 8 D Q 8 P G a W o P n z D c r M E 2 1 u b 1 N z S a u x V B i o w z u E E q D X o 6 8 F A 8 i N L 0 w v c 1 9 r c D 1 I 7 q 4 N 7 u 7 s U b 2 g Q F U H h 5 y W W L J y j X 4 P / i X E F V G p j J Y A 8 u K d 3 b a S P H b F w j i z 6 b h p w v l + d M P t V U B 8 3 9 w P c w B X o d H e W F r j R u M 8 N x E G B s 6 q 7 S n B D s c d 9 P T Q I V l R L q l g s S P v L 3 4 l j x 4 V j J V R j z 3 V K J k 0 y g S B 6 A p x I 4 1 Q O o I J c 6 1 2 j 5 N 4 u d X b 3 G K X 2 Q O V H R f c D q E I 5 V l s g N V W r r w D J o v p w q J j o i M N Q M t J e 3 i H R 1 c z b M 1 H R k n c z o X q b c / Q 5 q 3 R p b k B u c J 9 Q W e 8 U f m b V 9 0 R H j i Z W Y H G U x N Q l 1 N 3 Z K F 3 m B g i S + t v p K G 0 w m R W i / F 3 4 X i t g n I F a r W O J v / u H h d q r r F 7 g h V R 6 U q S K x 4 O 0 t 3 R 8 p G J C f e d c M w 8 R z f 3 X a H 8 f / Y x M T c k E 4 J m f D D + g s b E x 8 d 2 L 8 7 M U a D 4 h K i q O 1 Q p o 6 V W r 7 g R Y B q / 0 S 7 U K 0 s c K S K d z 3 M / Y Z j W o 2 b A W O u E p E / Q E E x Q S U m / Z u 7 h B W O G G A a S y H t M x 0 J I r M / l b 8 a s T K f o L q 9 Q w 1 3 c n Z C P w z V S U t p I m K Y 8 K i j x W q H K d U E g g V D g c J l Y A a H v + t v j M U S P w z 1 8 e P a E 6 R 6 7 R 1 h b G b c o t e j p Z 7 I h T i U w A H n f z + m d i X O j C x Q s U j H c K q 9 P O z i 4 l E k 3 y Q w f A G l d e m M C h U m G 8 p r t J V r z 5 z T A 9 W Q s J 4 u A z q J y A k x T E / 0 N V w / X i r u y r j w R U y J D x A T t V D s A 4 0 P y 2 S R g n a W R F N J i l d L 5 y H w n 3 j P s 6 S i j y 6 N D L d E I p K R U O h / g 9 8 3 O f O X p S B f 5 w x I R q b G 6 j b O Q k p d O H Q y Y A K t e Z 7 g z 1 J P I 0 N T V F j Z 1 j o r X N s E S J G B I l y e I R f R k d u B 6 8 E C d g / A T q J A D L 3 + J O i K 9 J 7 A p A Q q h B 4 K z B H 4 z t w C I H 1 U 0 B / S k Q H J 3 y g V Z T F b w 5 H q e 3 L W q X A k z Z M M Z 4 e Q S D b T m 6 w F J P J x 6 M E l D 9 u h v 2 6 P l h S Y p 0 l m h / Z 4 N a j Q H v 2 1 P c W C Q P Z t U 7 D F R D q m g 0 R O m 1 o y f U k c v x f O w k q 3 m m 8 c F K J O A g Z A J Q o a F K o b X e 3 t 4 u q i 6 K T I B O J l w L k E q a l d l O b Q K Z U E k / Z Y I s 8 H f j k t C X 6 W b J A D J t p Y K i 4 m N c a I m P q 0 H j q 4 N p M d 6 j 0 B j N U y a b p V 5 W w S B B f l q Q 0 s F K J h B R A V 4 T X h / B 7 E a o T I q p v t 7 y f q P I g S i f V p E J u D Z C N B y b N f b q B 1 7 q A / Z V w v t E H Y t 3 X T O O H h 1 Y Q t 3 2 + J o O j k T f V d r b 4 9 a b K 5 M i l K r M 6 g G p 3 A q n c j u g c q O T j 0 7 5 W G K Z W l u 9 W / D Q p 1 O t n I 4 Z r q R D h m k c 5 O C P C O i D y L r 7 j w K I i f 5 H a z w v v A i k a x T R y v I C d f f 0 G Z + S 0 C U o X J y U G 4 / V Z e e g 6 I y s 0 9 U x 2 a D k + J y p b I F J L n Z L A E v f r e l Y W d / r T O M z e r w 3 a u w d D e y k F K D K V Y 5 3 p y S V 7 E 8 F a H f x j j h 2 F O C z 8 9 8 j S P G W P o I A g F o F c q g E W H M r n M r d c G 0 o L U z t f s g E R C K R E j K B 8 L h m R S Z I F L w 7 E E m R 6 f G K N O V b y Q S A 1 F C 3 4 B m g G y V A J p i N d Y B M j 1 i y A i D T F 5 M x u j M b r S m Z g L a Y K Q n h x w c y Y a z J i t Y G e T 9 W Q w a k O x o t p f 4 e B S r V D T 1 X C e 8 t x Z p 2 c 9 8 L t n X y M B L e t 1 1 5 z V M h 0 i + M E K i g S j q p B K j c C q d y J 6 D y w g X o k / E Y b e + V u 7 5 4 h n F e q 7 R C R x 8 q 5 c b a a l G 6 n u l y d g h V 2 E 6 H u N J K t Q 2 E n G S 1 M B o u Z w o 8 C x R e H 0 t V d H K t B h M 7 / b R g m N s B 9 P v O d m f F m J k V v z 6 1 Y 2 y Z u L / a J S Q v 3 L 7 Q V z 0 q V K o j y F V S 9 Q x 1 L s U a h b U + H l a q / d u y Q U P 3 V V a l 5 E 3 q N 1 0 J X j 5 j B S R J l F v d p n i B H t w 7 g K g 3 V A g n t H V 0 C r L p Q C W b X 8 t Q J p 2 m / T 3 p B v P 1 s y j t Z w O 0 s h P k S p s R 4 1 T o 3 4 x 1 Z o X B A o B T K Q B D h n 7 L 2 H Y y g R 8 U P 8 0 b G w w l a S 7 Z e I q H Q m G 6 1 L 1 t 7 B n g j 6 M l h m r V 3 7 R v K 5 k P C 1 7 r j U q o c + h P x T q v G k c P F / w m d X 7 V P n W M X C W u X y U W P Q W 1 r Z c p 2 J V 5 A b y l l 3 b C d J F b + o s X L x i l / o B + V D X A G F B D Q 4 w i 0 S g 1 N M r O P z y 5 0 e e C x R G A d H t z d F M 8 i 7 v T e f r k Y Y Z 2 d v d p Y 3 2 N c u k k E 3 G X s n x + 3 P / 4 a q m q V U s U A m a n C e S A V M d g 9 T y r d y D x 8 o 5 5 7 q m l X a H i B Q p S 7 e 0 N z 9 L 6 5 p b Y T q d T 9 N Y p p G S Z N / 1 h w a 2 + 6 M e w j e e M x N 1 2 S v S A V O V 1 t J b p 0 P t Q O 6 w x K F U P N 6 g n Q O U 6 7 M q 8 A q 0 + v K T h Q X 3 v 3 n 2 j 1 B / Q j / I C 9 G + A e / M R u j 2 x L / w M Y V p H Q l 9 r j 1 U p 3 E o j k 6 i 9 U V Z G I M 0 t z P x 2 h E 7 3 s t o X T 1 B / R 4 z a 2 j v o 9 k I r N T Y 1 U Z j P j 9 Z / e X X X + I / a I x 4 s V Y d B e P h O Y u o F C N a h X e 8 r 5 6 Q l 8 N 1 z G b r a v 0 3 P n e q m 9 t Y W U Z Z I N P O 7 z Q n n W j W N 5 S j g V m + Q 6 0 k S K k d J j F x Y 6 m e t U + C P X 9 0 5 t K f Q 2 P 0 C 7 e + b V j 2 d V A r 6 t o J d m R d E + a W + y S 3 l 4 j a 3 t t x Y t o Q 2 + Y U n j K P e A O m A C u 0 F c O u B O R o t u u i M V g A s a j A C O A E q n 1 I D g Z s P s p Q N + b t + r + i m S X r + r D m t x e s 9 O A H v V q n A T g P P V s D V K s 2 N T 7 V Q l j 0 d e h m 2 k X B d y u o X D g U o s / m 9 8 Y n a g 5 / h 4 f w E A y F h Y b G z 6 i n U k k w A X I u A J I t 3 D J i u p P 3 P 0 P V K J k C N 7 b h V x O l 1 a T 2 D Q e K r K S n R P p s o n 7 M E s z y e m 4 6 3 L 4 S F J A m S 9 1 m + X r F M Y / T h I / M 6 c A / w D a w W I J S C P t 7 n B j Q w B 4 G X + o N 9 l V A X c 7 k C k 0 w + 6 8 P 4 0 d r D 2 i L a c Z k v X k o k J Z k A a 6 7 D p s g X f p 7 Z o b / / 4 A m 1 R Z N 0 Z 2 K X W u K m 2 g L o 3 4 + + l h X o x 1 Q D v T J Z M d y e F Z M f I Q E a j M 7 / D e 5 z W A F j C q S X t c V + 4 3 S e 3 j l b e 0 I B X L W E N I H H B H C q C 3 0 3 o o e L 7 m 5 I m M 1 r B V p / h b d O p 4 T P I S y i b q j F c I B d n b G r a 3 h H S D l O g a Z L o v w w c C h 9 q K a u U 8 I Q o W 4 C s C N Q O b x 8 x h 7 w q W t M t F L P y E V K 5 u N 0 9 V Q T 9 w P M 7 7 O + v J Z 4 + b n Q j 6 k G V m s f / N 0 w h q Q w z G T B 1 H m M j a E C w 9 I H g G T W M R 6 o Q X Z Q B o H D w K d P p I q G 6 8 H 0 m H O 9 z g T e 5 I a o z e b Z W Y H 7 x Q R I k A p q L D Q x r 1 N S / K H y d 5 Y T q 0 C h p p M l d b Z W 6 V A k V D q X K L H q 6 T e k 5 z r s y r w C Z t t 1 I 5 A I A r g o 1 U / H + j 5 G 0 I 0 d h v V 0 m K d U K 8 D a h T E k H f B K B 5 l 6 A 8 + K A 8 L C l 6 8 l J 8 a a l O + f E 0 5 3 l U u 1 W m J y M S X U P g w o 4 z F N r I Q F w a x o Z T K t J 2 X s C C t g i M F 7 1 / E a P 4 d X T 6 T o 3 T N J 8 U z 0 c b Z a w a 0 + 6 b l K q J f Z w u H 4 L N a 8 D 9 X c 9 7 z t m B M S o H I d d m V + I J x g W a 0 C 9 g 3 v g 0 3 L d A N Y s B D Y R U E n F w D r m h 1 u P n Z / 8 E n D / w 8 m c y t 0 K X V n N i I G n S P N p i E A a t 4 P 8 x E x p X 8 / 4 9 6 2 j X b i e I E u J J 7 R m 2 M 7 L L E O 9 s z C F n V s Y r N V t P U Z J v a X f N 0 N 0 b z w S b T D U G t W x M 7 A 2 J o e G w L S C I P g O q k g n X T 3 r I 2 9 k P C w 1 4 0 v t Y B b v U J e k r g M j U W g 8 Z J W c 2 v 0 8 / 7 X d 8 u v 5 A A I t V 5 x 9 S R X u Q 6 7 M j 9 A 4 B Q E U A E w E x T q h n L z g U f C U H v O t a O 8 s r x E X T Y T E e H 9 H e H K 8 L o x D c M J 3 0 5 F R c t u D X a i 4 + P x m J g m f 0 o L I w Y i n e c W + y C V a 3 x 2 k 5 7 u 9 h p 7 3 g F p h G k n 8 J h X U C q a H + z u b A s r r n z f B X 6 O 3 e J 9 I m 6 E N a K U 7 p + o T 4 G p F d y s f s r i p 6 x + Y p v y F E 7 9 L I 7 X C j X t Q z X 1 X u E H K / t O i k Q q A S r X Y V f m F 8 u 7 Z q V A 3 w i S A G N B 6 F z D I 6 G S m m 1 H J g D e 3 4 p M b q G 5 X h x J 0 x 5 L G M x Z c g L i 3 r X E 8 8 J p F 4 C b D 2 b z 2 p E J h g m 0 o F 7 m M p 0 e b B W D r n 7 R 3 l B K p v b o t i 2 Z U I L n 6 K S S N i W a q a W 1 j S b 3 B w S Z v p + N 0 o e P G + j m R D l R d I 8 K N Q g 8 y N K u V n C r X 8 j L E 5 c 3 n L O t y 9 W m m g p e q 5 n 8 q A B f N A U Y H z D v B 5 X j v N G 5 d n O N W V t d M b b c 0 c Q q k B V K 3 Q M 6 u I J i A i A C k K i z I S q S D h A d H X P M i I X v X I Q P 6 x 4 J q s + C 6 4 U E c Z M W k A o 6 Q K o L i R l j r z J W W f X S c f 2 E v c n 8 L q u q e I 4 6 8 b 9 6 a n p Z A G j t L / Z K y Y O 4 e 5 B C 6 D N Z c Y b v 2 Y o L / N 3 6 n L C j g E 6 o b K X O q 0 / U r A / V 1 H O l 2 H c 6 K l V P I a Z Z j + A X N w v 1 z + S Y K 5 p b 5 I h / N V j a 1 w Z d + X y Y x g 5 v A Z w a 4 0 o / a f E Y Q H L 0 k x C w 5 Z X R l I g i K 2 J I G H O 1 E J 8 C j Q F c g L h + V o R u p l Y Y H O g S x E I K 5 6 W R J V y o H F r L T c K 9 M C i J A i O F e s p 9 T A B M 7 V e A 3 y I a C o Q E u D a U s Y 1 m 5 A Y 8 k 1 r B r Z 4 h t 6 Y 8 p 2 z k j K j D N f n 5 8 6 0 f a l K r g 8 2 X S / p O S A A u W s 9 1 2 J U d F B j 3 O W f T E j o h l U p S L O Z f j 0 f l 1 / s I u J O n T B K o m A h x B p K j 8 Q M 3 v p h E x N k M d T c m K R e I i k 4 6 b l 0 n D u Y 8 I U j K d j J I O + m A c A F S 8 S Z 0 p F g N i M X K B 4 a 9 4 O O f A 3 x + 8 3 / b a Y a u n + 0 q u x Y / w H 2 r f 8 V 4 G 4 Y I A E y 0 j I X z Q n r Z Y W W J + 6 0 9 U t X G v S M K 7 4 / z 1 Q 8 s 6 7 A 7 p y p T u T n U w d f I D y B e e G L s H w y l O k m V S P R i E L e 0 7 w Q c N Z k A B C y p F F B E D W Q C 1 Z A J y G d L f e H w m k R / j a E 8 I q A m g X Q 3 T i W F V S y Z S g s y I c Y d P N A B 9 L v w K J A Q k 7 y Z + 1 m P l 8 N i r A p l n 3 B f B G o k s D A 3 W z W Z g B i V D g 2 s k w y x p t e / 2 z M R o a o i Y t O t a X k f b q 8 K / 3 p z X F 4 T y H R / O i M a E j Q o D + Z l o 6 q g N 7 Q g E y Z k f v g I k y f z I h 5 G r e B W 3 8 r q J G f Y z o Z P y v 0 D o i a E s k 4 c P A 6 o A C a z m 2 F R K R V 0 8 i h g 6 r d f o M X V A Y 9 y J 8 D 7 W g f + E 9 b C l Q 2 p W i G I p z I l 4 x h I g z h / 1 4 c k S W F t Q 1 B I 9 C 3 g x Y 2 Q 0 z / M F K h v w F s U X C e M t Z e r d r q V D d s 7 i E + + G 6 L p 9 R B d H Z D X Y 2 3 w P 3 k S E y q r w t u n z f u 9 N A T V E M o P 0 c W B k P A + U f 0 9 S A V 9 E D z F H M J T C B 7 i o H V l y D 4 v A q z W A n x 3 u P X q U 0 P b E D 8 w y X J r A l S u w 6 7 s o I B 0 g G / d 0 k 6 Q s p p 1 z A t 5 E O i y E h D p t B q o w P g w M n S 1 S J U G J u N v n p m E x G I H C i A u 1 M k s n + 7 B Q l g E g 3 k 0 u 0 d X h s x 7 q h b 9 P f a e I G q 6 C v p S u E s Q W Z D a o S v 0 1 s k U D b J K a g e o V B i i g D k d 3 w v v E 7 v + H l B 0 s z I I h b F C Z U C C A e c g c K t 3 y I s J + 5 z Q l 8 o F u 3 k L 1 1 R 9 w g I L o g W q N m V Z E 4 f P n l L 3 j g u w l u E l w M I E n z i M P 3 m F n 6 i x g N X C 5 g Z 9 m n h T I i E I B n U O 8 6 R A H g w I 6 w O o I C 7 U R E g w q E 0 j b W m 6 O C z j P 1 g f L 6 a p V A N r L M G J e d N w A e m K i E x w M X K D 3 s D g u h a 2 Q s X p L A D M 6 U 7 T Y L 5 6 K l X E e 8 V o t H m h W V w R s Q D z Y n g B Q w o i x J r 7 Z d Q G f P 2 4 h 1 S 2 o a x + + 0 0 H V v l Q t / S + k 0 q A H c H s y m o B V Q F E Q J F N R G r 1 X u k l v F + X r r b 4 A c a q v p / D y h M B E d h f 9 9 y w O 3 t / 8 B m 1 N M j 7 A v D C d G C 6 i g 7 E g K + E C K V E r A 0 9 d P N M s n R g G J M M n 3 E f q h L m N + X S N G g Y O p p y I r q T F 1 w f T o l l i J S X B W 4 L z s p Y n g j m d 6 z a g W 1 U F e v g s B + 4 1 T / k 1 u O Q U g f F g Q j V 0 P U c S 6 d S E h 0 n 1 D i O C p r i d E U b + w E R k L I U l t q q w f o 9 1 R I q w f y B n y F M z F g E Q A 8 b N m W p w J C C v f 0 D Y h s N h P 5 4 M 1 p b 8 Z W m O i J 8 W C W 8 d b Z A s 7 P z w h i g 4 + Z D Y 4 O B R g n S o h K w Y A I k c E O 0 Q H e m 3 Y 0 l G K R G H w 0 J f U Z d u g b z y Z J B Z t V w Q E 1 + d c T d S + W g 0 O s t t n d z Z i z 8 a s A 1 A 1 d f X V I e 5 V 7 J d N i k U 1 7 T 6 I O I O A 0 O p 4 M 3 x c m O c n 1 p f 9 9 + z A Z 3 W y u c Y M l 5 m v t 7 a j E 1 z O Y F x l d K C a U C w 0 B a o E + j S 6 e I 9 t F X j c X S g B e G S k n w t S Y B d V w + 0 y c 8 J R S g X r b G n Q m k G i p k W N R N Q Z U D r 9 i 4 Z 2 H q v y I R Y r U r w 5 E V g Y L s N y r o 1 U S p z N V a A d 3 q n D y G J C 2 q 2 J J W S L O O + 0 1 V 9 6 G w p p N f Y 8 R h o 8 D P A l 7 l 6 F x j N i 2 u 0 w 5 o + e z g x Y S + v S 1 j K V S C 2 + 1 j 0 P e Z M f E Q 3 t i A 3 c d h k M B 4 F I C 4 5 m 6 A 6 m U 9 J w a Q n X B 9 O E M v D h h x I f g U 6 0 n 7 / g 5 I o 5 4 X p J q + O A L K l Q M w + o H K A A M g 6 C e W F 1 X A 9 5 z s y h Q H n v X Q 1 L k Q P E c y I p i n A j 4 P k m F 6 C 7 5 V + Q D W A n r d x G Z x j z f g j 1 g g W X e q S V W r f K E m B O I 3 v c r r A R j T a Y n J C r j 4 8 D O 6 f / 9 H W t v R m j 6 G 9 V I R A V b B i y r X 3 O z u W a F W u s D D d U I P t 7 b 7 X D / g H P u Q + 1 K o Y K i c e o W E t U x f 5 A 0 T 9 t y A l t z t n H Z o S 0 T p c s 8 O P d + f o j f P G o U G l H u R 3 v g g b o T V A V h N U z n J U h f 9 Q g U 4 D F v x e D l S l F h 6 e L R 8 I C Y G s d V 6 w p g p g H 1 E 6 E W D g j N + z s R 1 c y F z g 3 v 9 x D H z O O i 0 k 2 4 3 9 v y j a k L B 0 q q T q Z T 1 5 T d w V K T 7 u z / 8 I M b E X r 3 c Q 8 8 9 d 0 l Y j B 4 / H q f v v 7 8 r g q O U V b q j u a y S + 0 d H G 3 0 U W M b g I Q C 8 x f 0 p h B w 7 a v S 2 h a k z I Q e h d b x 6 o t z A c K r T J L g O N f C s x q 0 A 5 f z 6 P J c p q Y T B b T u g D w W g Q Q H Z o F 1 g V j C m y I 8 b / W E c g z G n V j D f h / m d K E E x F v m r F v w Y 8 Y X + U s f Q a e E Z o S 7 K m h 8 X U F H / 0 1 8 / T / M b B Z o n 2 e R i D O T M m d P 0 w g v P i + 3 F x U W 6 e f N T s S o 8 A G m h g L E T N 3 g x l z u N n + j P R s x c 5 V 8 9 E h L 6 F 3 b e 5 X C k t b 5 f V D a 4 + R w 1 o M b Z 4 T H 3 / x B 5 V m + s Q K S 3 T y W F G V z h k s 2 y q k A 4 L / u u e i x 3 B a y t d f g o f e 5 4 V w U h a 2 R 9 9 5 O q 6 k P t 7 v F L h q 6 J E 3 s g 0 V E R r T E i X 9 5 Q Z 9 i 2 N Y N K 1 9 v b S 1 d f e Z v a 2 t p o d 3 e H Z m e m 6 Y s v v h Q E w 9 i J G / T F B K y o F I c B z 0 0 H 9 i / 0 Z I t 9 E D y h Q R u v a y y J Y + 3 z 4 X P K Z 2 5 u w 7 6 S + 4 U e T w P h z 0 B Y e I 7 r U B 7 l V l w d z A j v e R 2 4 P + v A 8 J d P D D U y b / b t Y P p P R d Q K / V y N C 1 L K Y c p / J F u 7 1 d 2 9 1 k F 8 C h / d 2 O 8 o 1 n d f 6 c P b P / q v 7 U 0 X K Z W y d 4 S 1 u / C j I h R c Y D B o C e s S T L l 8 f x W R Y 6 k T M k b y M R 1 j Y 2 O T f u S + 1 / k L 5 6 i n p 8 d z j L 5 K w D S R j k 5 V c U z 8 z C 2 7 c u b F U 1 L X f I v 7 I F C b 1 I R E t N 6 Y S D l q Y 5 0 E 7 s 3 J V Q u r h 3 l 2 E A r W R 8 z e x R Q T J 3 h Z 5 R 6 v / t b T A G 1 l Y s K 1 C v 6 K V s T S c / T q h U 7 6 x C Y a V C 3 h 5 j S L 2 I I F U Z e z n O f 4 S R S o K + G f 0 F U 1 b + C P I o 8 i y 1 G R x g 2 6 a u R E J p i h 4 b a F c M l Y X U K / 7 n g 8 T n 1 9 v f T u e + / Q 4 O C g I N P u 7 i 5 N T k 7 S R x 9 + T P d + u C e W x / H j K a H g 5 I 2 h e 8 b r 1 4 y g m f r s X q w v h Y F h V P Y t z L n S 7 h X S Z N H D o K 4 7 z L M r U 7 6 V T D s W 7 w n U A y f V c 3 1 N V k b U 1 5 f H C m W W P Q B S K E A 5 y o b b q z Y 4 1 A J m H e A c m 8 i q r M 8 s o X 7 y 9 Z 8 N X R d o a 0 s G r 9 Q d Y t U F W C + k 2 g u r B n h p X o H r s r Z Y e e 4 E Y 2 X 3 S s C 9 Q 5 o t L y 3 T w u K S + K 6 x s R N i d U R 4 g 0 d t H G d 1 S V g J e G Q f P 4 5 T C / f H Y K a G + R y S y W l F e J i b 4 d D q t p D 2 Q Q F n 2 O X t o F i 2 1 K k v p C O Z 3 O c G q n R B O w C N 2 J N V v l 7 D y o e 4 G j O s t r 5 7 N k U T L K 1 n N p 1 n B 9 c C d l J K 1 l G u w y y Z 8 k L r Y i 2 A y Y 5 + b W d z Z T 9 P H Y E P 7 / g j V D B x g R 8 W Q t u a 0 W A B R R w r g a z 7 h w V Y m B L h P Y q x l P G D Q g F z d g 7 a u p v A 8 4 B T 6 P 7 + v p B u + 3 v 7 9 I Q l H P y v 2 9 r b a H R 0 h N L p D D U 3 J 4 S R B F I Q u W 6 y B 1 n / 4 Q / f 0 f D l d w + V J D r g U + h 2 L k h G e G h g A m U l d 6 B P P / 1 M y L u h 4 W G x C r / V O f a j n 0 N 0 t i d H f S 2 y n / W X 7 5 / R c x f G a G 0 v I E z r h w k n Q q E e I I F Q I J Z S + 3 r a v I 0 7 K g Q + 8 k m o f M M F M Z E Q h M K F o A I 5 k Q k 4 K k L 5 k U 5 4 a E H D E w G V v s k h 4 t F R A s 8 R E h 8 J z / Y v T w L 0 3 u V G U Q E w p o O 4 F T r u z E T o q u Y Z g T A A i K m H N a c Q 0 Q j S z G 4 1 D T e s r i x T Z x c 8 r g + G l Z U V 6 u q S / c U v v / i S X n v 9 N b G t Y 5 H r 6 f 3 F O P c 5 8 n S 6 W x p Z Y D I / b N g R i i s p d x e 4 H g s B I c m E P M B l f e 3 u l l 8 r u K 3 B C b y l p s 4 h P p F J k k p k O S o y q b l F w O r y E u v v q 8 a e P R S Z g G r I p G J Y 4 P a + c X D v 8 X v r k F C Q V u j H I R 7 7 b 6 4 0 0 d 7 e H v 3 j P / w v G g g / p f / + j / / C R D M N E j q Z 0 I / 5 c S E s W n i E o c a 4 E P q K f q E C f e L S V b h o O / V L D V 7 b A e 9 c X + T u 5 C n 7 i X s 9 z S T i T v z 6 T F q Q 6 a g W w 3 a q k 3 I G l 4 T 6 B D 6 7 l 0 L 9 K O W B W 2 I J 9 c D z q 4 9 1 n O d O e f 3 1 n 7 x I p 3 Q q x a p Y 2 t Y 0 D g O F 2 4 R B K y A J V B w E x C 7 H t H s 7 f P E k R q 9 r i 1 X r Q L 9 I 9 4 S w 4 h u W S i 9 b p N L 4 + G N 6 8 O A R D Q 0 N c U P Q I B o D k O / 9 u 3 v U 3 t 5 O O 8 y m 3 b V Z 6 j 1 x R b T E a I y x I N o 6 9 6 + e 9 + g J D s C 4 o 0 z 1 m J K / s h u g s U 5 7 6 6 I V y v K r W 0 e h w q K h U F D j T Z j / 9 N q Y v K 6 j k E 4 K Z V L K q M O Q S i K h b s P a x x I K A 9 4 9 b d 6 D o A Y + + t 4 7 o Y K J 8 9 x q 2 s f c s y O P X V m t A e u Q d Y a s X + A 6 b V W B K o D G R v U Z f l 7 C Y C d / L 3 / / 2 R 5 7 0 i l Y r 0 G v 1 E 6 A F / r j m S 3 K R D q N E o n t 9 U V K 7 m 5 S 1 + A Z 8 Z 3 w U L h q z A a u h P 1 k h h o w R d g C + E i 2 e 5 z 0 Z 4 1 7 M T v L J O / t F c 8 F A 9 X p v X V 6 4 3 x j s S 9 2 l G Q C y t + 1 0 X W B y p e D b U A S S / W j B r r 2 j c 9 V h n h n X h P z S E A R B f l R k M Y N B y U T U C s y A R v r p r p 5 j k k E p 8 9 K Z A K 2 L L O G 8 W J 0 z 2 4 d I B s q 4 U 8 s K T M R c x Y u Y q f j V p r b e 6 l 7 6 C x t r c 3 T y s z P w q L m Z W l R R G 0 C m Z 7 a L P T m l U w w x l j H 7 j A E M T 4 + Q b + / y x I 0 H a B I Y / u x k c k N X J u L 6 p 6 C a O g 4 9 5 r 4 t u y K 7 V O 9 9 Z 8 Q J d Y v 0 P H W A Y t c L a + 1 s 8 s + a G Y l F P R B N A P w k r D D x 4 + U 1 Q z / g 3 c j 1 d 4 7 M 1 G + F 7 E r 0 N o 5 Q F 1 D 5 2 h t Y Z K + m 6 r c p 4 J J H B h q T Y l 1 s q A i + 8 W t W 9 / a N l D n z 5 8 T 5 b H 0 f D F 2 x p I 2 B + o o Y X 3 S 4 p m p p D L + g 3 J Z N 0 p 5 4 J Y q N 1 s G w o 2 d J Y S q B + h z g b w A I Z e t V i y 0 p r W U U E 7 f V e m p q S V E d c C 7 W w e c e 7 / 8 a Y 1 e G J L f F s 2 s C t K p P i R m 4 e o z c R H 6 + U 3 u w / 3 H N / t p c f I 2 / c / / / S f j i D 2 2 W K 1 D t C O o Z l g n K x K R / U o s U 6 p j d m a q j G y o F y v L K 3 T 5 0 g X b Z w A P i V i 8 i V L R / m I A z 0 V t 4 e w j h W 0 d 1 s p 4 U + 3 h o z u W o K B u C H x 8 9 6 H d t 5 c h 2 n a u r g w S C O G L q K N + g G u q J X n s 4 H Q O e E v r 8 S W s 2 F h b o 7 Y O 9 + V 0 r N 8 N Q 0 v U R 1 i x p d U t e v 8 v k 9 R z 6 r p Y j F o B 7 l o g r 3 X F E B 1 4 7 3 w B x Q X p E M 9 w e 3 u H H j 5 4 R K 1 t z T Q 6 O k o t N k F D E T Q H U 1 R 0 x 1 + o s w h x / Z m 2 m M J R o / g c + Z 7 w 4 9 S H Q o J 6 O u h x 1 R D P T Y R 8 n i a B d N i V H T b 8 k g l w I 9 O T i X F j i + 8 H D 9 e 4 V 7 W a u 1 f Y n U M 0 Q J k 9 Y Q Z f W l w Q + z v b W 8 W G C X A i k 7 6 6 h X U x b Z 1 M M 9 N T 4 v t 0 I E 4 D F i l A P + W j x z H 6 Y b W H + s + + Q g s T t 8 V 5 L / W l h R U S E V 8 x F I D B W y c o q Q X 8 y 5 8 / 4 L 8 B M d a E M a b L l y 8 L M q l 7 E e Q z s M a t u 9 W L H t r t c Z J J Q b x j s S F 2 B b G M T Q H c D h L I 5 h W B m 3 d / 1 r / D E f m G s 5 R M 1 o 9 D 7 O t D a 7 Z q k g 5 M g 1 f u O j l u e f R W 2 Q 2 4 d i f y Q d X J p r l / w Z W m R R t v A f Q B Y y s q W e 0 2 N z e o t d V 5 C d O N t V U m X a k 1 z w 4 i L D I / F 2 t n H 1 4 Q O D 8 s g z B m b K 4 u U J R V s I a m Z j r T l S n G 4 V C f c 8 L C w o K w 2 O n P B 6 8 a u 1 B J 4 X a V 3 N + n e E O D m N f k N m Z V L x B 1 W E g l O b C r 3 I + E 6 Z x z / k M n B r z V Z 8 9 3 C / 4 o 8 i i y q N w K h + K a Q p E J L 8 8 J u u + b H / c i V A w n o F / R 0 N R U R i b A a v D Q 4 V Z J g U o R Y R M e Q 5 3 h u X z z e E d s R 7 L S 4 o i B b 3 V + x K d A d K L W z j 5 a m f p B l I F M C M w C u F 0 n x p P k J M 3 S D 6 1 u y P N t r K + L H G Q C 6 p 9 M X F F F Z V U V V t 9 H P Z e 7 T v X c D p 6 X s / H x n Q x f H / Y N f U l K 9 f K A 3 R 3 5 Y u 3 g J 1 K R 1 e z r F f E G Z x M w w m a 5 w c 6 R V M f i w p y x 5 Q 6 M F y V a 5 B T u T L h T G C y w Q J o O h O g C u k e f L 2 o a i N m g j B t Y x 0 k H 3 v 2 z t R D 9 3 e / v 0 M j I i F F q Q o W + b m s 3 p 4 7 7 U Z O O D X x f q i Z Z c 7 0 K M 7 V s O W G X P N W y U L T J N 1 M P E y 8 6 h J a K N i b E v C O o p W 5 S p h L 8 k E 9 H c 4 u z y n a u 2 1 u n 1 g l 2 c 6 n s M L 4 U L h s z O u H g 5 R B r a K L d r R X q s H x e B U T B S i B Q H d 9 / E K L b 4 1 u U 6 B o p W x k S O N k v t Q V 4 1 C t U m v 1 c F 1 C S F t W a 6 7 a s 3 o Z k k o W y z v P v v k d X U Z b w l X + a O g a N k + G 8 x s Y x A c F A n I D 5 O 6 h 4 C M G l p l C A X K s r S 2 L b C V 4 C R B 4 U v a x S P e C W X w + X p Q N u L m 5 o a E C U q c q G m J d G 0 8 K 3 L 5 R z l t Y g C V Q / O E S s P v u B O p r K v / e P 9 w P 0 p / c / p p 2 t N d G n a G 7 r p L / + 1 Z A I s w w p a A W u D S G t V f 3 w G 4 3 3 u A B K S f I A n I t N u a / X + f V N K H O V f z z V J F a d j 5 1 I C m 4 h l u 2 u E e R S g 6 0 4 j h U s r N D j H s D C d 1 i 4 w C 3 / + r 6 9 0 c J L H 0 + 5 N O m S Q I e K w w c V L B 9 0 V j E x I I 7 p 7 D C T J 7 p G a W 6 r V M W D Z 0 U 6 v U 9 / + 9 t X 6 W 9 e b K R / f 1 k O H D f F C i L q k Z 3 X B M z o P X 3 9 J f 0 r L F Z d 7 5 D 8 k Z J I J L H L f + U B o 5 z v L + 3 V b G 7 o f m 6 J G y g B c S I L 7 M o O E 2 5 n m 5 2 e M r b s g Z e t V r B I 7 u 8 J t R C O s T r W t d g K h 4 G u J n v 1 y w + R n S y J e h y + S N Z 5 Y p w a E I c B Y n t p k l 6 z V H z 4 / v 3 u a o w + / X b C K K m M t d U 1 8 T w x s R B 1 Y m 0 b z q X y H H U N v s i S O m X U Z 5 S q q i 2 3 e U f j h F P y J K G U h a 8 e 4 K T y w R Q 8 N D J q 7 F U G Q k V B L X y w Y k 7 f w D 0 e V F V B Z 3 x z Y 5 0 m J x 4 7 P j N 9 d X i F X Y s 3 g h u c T P o 6 c o a E q v T W X j p X e r 9 Y y O B P P 4 b o f / z T 9 / R v b 1 w w S i t j e G R E P E 8 Y V 3 B 9 4 + u N 9 O 1 k X g w X 1 D M E n f g 9 i X c l r h V / Z B n y k u M e 4 K k P Z W 0 8 j 5 N c o w 5 T J a D C Y N l K r 1 D z o O B P h h X 0 A F S E a i 1 8 I B A A g 0 Z r W z u N n Z K e 3 n a A q g W r H Z 6 j s o b B J F 1 L 5 I L S a o i x I C f M r W d o Y H B Y b K N f 9 X / v p O n v / 8 9 N S q f 2 6 D / / 7 q o o B 3 C N y 4 s L Z a G q 4 c q l o P q A S 1 t E n z 9 M s t p p X k P 9 Q q / H k j y o 2 i L J I r E j M z j J V v 7 x J K F w g n q B k 0 M l d H g 9 q I k f t M b t 1 T A / 6 D M C + 3 t F b 9 + A I J y y K M Z 9 u B A B e k g z V H i o W j A M i L l H 6 V l q T D 0 T x 7 C Y t h O m H n 5 H P d 0 d g k w L k 9 / z 9 Q T p 0 u U X 6 H f X S q 8 F 1 9 j d 2 y c M I z q w e v 4 8 9 0 m F 9 w f z 6 e v x F A V C Q S p E I P U 8 V a 1 j h a j X I A w 2 j G 1 j Q 5 b j x y j 3 L K G Y V C U 6 o G 1 i 4 A v 1 L / V 6 g l r j R 8 s Y i Y K f p T 3 1 a 8 e s U Q T w B 2 D N Q u x y t / E s J z Q 0 H m w a f d C j F 4 c C Y m f s 7 U o 1 E R U e q h a M F p j I l 4 4 N U i o q l 6 h x m x j 4 0 / S + k E p P v v s j 9 Y 5 e o X 9 3 J U w v n W 0 2 j n p D P / d J e 5 h s w U C B x v o a 6 e 5 s l F I 1 j P B 6 q E C d V p v i R 9 V z 7 I s d e U S U 8 b a V F z b J t 4 Q 6 L i L p s A t i W W n a u 4 7 p Z 0 + N L X 4 G / F U d T f K e 0 N l H 7 H I s j A Z A C s z P z d D i / H y J e n M Y a K z g R m W H R l Z b 7 d 4 H w j p D B e t u Z s m 1 v 8 v E 2 x H D B 9 t b W 7 R i e H P g 3 3 7 9 3 m + Y m I 3 0 6 3 d / Q 7 8 5 n x a z U / 2 O w Y n K x v m d m b B Y y f 6 X B H H l u H 4 8 D J W M I 6 I c W 0 a Z 1 3 o f + P T + e M V P p s O n S A V m g X o h H q L L i b y e v F r E u D G / c b J 2 f Y 6 p j Z C Y 6 m A F C G U X R Q l + X p B i M M H D E H J Q 6 a S Q T q e 4 Y + 9 d 9 a t 2 B f v D A K I V P T u S s M k 1 A t d R 1 G U Z n K X c j 0 / 4 8 q n t H G s w h R x d 9 C C 9 h V W z U q o 3 v D Z m T 6 Z q R + f t y A Q 4 h S Q L B l m S t b T S m f M X y 8 i E x q R a a b a 7 4 9 3 S h / P U A 5 n U Y D N W P v k l A Z d r S i j s Y F s c U g f F c S k c Z L L j h j V 5 7 k P V E 5 w W 7 q o U m 1 w H p m I f B m B o Q G e 9 G u i + c J W A u O y H B b c Y 7 q h Y U K 9 R 0 X a 4 A V O D z V j z 6 h c F Q S B B G e y Y P 6 o M O Q 6 p M m z r n H B I 9 W + K s Q H W C n I C B m z d s G m s u l G P A 4 4 g I w Z H I e F g p s Y E Q l R a m N j h y Q 1 p g K D + m I q S q N B 4 W O d G + Y G K A I X z Q 6 1 F h c I 2 V F L U m v a O T t p K h o Q B 5 O t H O y K W / C 8 J i j Q G X 8 S + 2 B G 5 T O I o c p E h x w c q g w m l 0 c s x 1 R c w 2 9 M J c Y t p 1 4 p m Y 1 a p W F L G B d C p q w U e P v 4 f 4 z b o a 6 E y w s 9 N q U d u w H I o k H A w U 2 M C I Y g D E z u k F 6 S B i J 3 n 5 d 0 6 V A B J C n c o w w T O D 2 9 + M T 4 X j Y g J j r g X 4 M 4 s I t 5 G 6 O U z C f r q S f X P 6 q g h y W M Q x J K L h B / L N v + R y Z Y b p c l T H w q W s H r C Z 8 Z a u k 7 A m I w T v F q x F h f m j S 3 / 2 N r c E O f B u A 0 s h q i Y 6 H M p 9 c g N m B W L M F x u q O T s C w Q c 7 l N U E A f Y k Q 0 E x v 9 g j K q p S d 4 L 3 L V y B V k p Y E 3 s a D i Y J / 1 R Q z w B w R F s g T b m X 0 k c I z e S L P n / u A + l r y B u h 0 p z i 7 y g p 1 e O 4 1 Q D J w 8 J r 8 h W i D b U w x K r k r R z 6 m N B q t g h 4 2 J h t N 4 P 1 E 6 M 3 y F e B B q O 1 b T 7 M q l 1 B 0 E S g y Y 6 c U R m 5 M Y x l Y t C n R M O 6 R f Z h / I C 9 D 2 s k C 2 S P T D l Q V 8 Y G p a 8 a n F Q M 3 o l t R W o J O 3 0 S K 0 6 0 L d C H 6 w M D o 2 A 3 b w y q K P A / R l p L n d 5 r H U G S Q z 8 i B z X L X K 5 L Q l k 5 N g w P o f k V n d 0 e O p D 4 V m j l V I J O G g r f F B M G a u o O 8 G u 0 6 5 U m t n p Z y V 9 p F k m 0 x w n f W H o g 9 2 f t 4 f v B E w 5 8 W J U k H 0 0 + 6 E C j F F Z A b c k O L B a Y 2 u g X 6 R C h u l Y m J 8 V n 3 d C U 0 O Y h t o q 9 w v r B Y I b R T I Z u f E j 3 5 k s U 7 k k l n 5 c 8 s E t / S L 7 U M C A Z V q 3 H V a W F o 0 t o n v z k W J F G h w e L f a l 1 n a J N r e 2 6 N q Q v + h G b g A h D g o v 0 z n Q R 9 M j H + l I J E r V M E g l J 6 n l 9 B 1 9 / X K q i x M Q G g 3 P 9 Z e B U p J g X / x g W y u 3 S / x H 5 G W 8 s E m e + l D W / u 1 x S y d A V 8 + c 0 N U j + 0 H o b 5 z p 2 L V V k z p Y O 7 s 4 0 k Q R 4 x g k F 4 K t I O R X t T i I u q j g Z F S w A u / b i h W L 0 Q L 3 V O m a p K Q z v 8 z L / d 8 4 l R L L 5 / w S I H i B + w M 5 D C J J s q B I b Z v l 1 j I B C y / s k i + V r 5 4 A Q l l D Z d l h Z u q p U G n i M W f V R Q c k F 3 z f r L 5 1 C M 8 F F e i o 4 F X K Q S W z G i i U 0 6 y K 7 o p 7 q v T + 4 B S M u O R K F a 7 k W 4 j n k c t m 6 C W H + B 7 1 B J 0 Y c t u u z M x F s p B P l p m c c E q e m h e 3 x v K 4 i f b h Y 3 d S D Y 2 c 4 L 9 4 G N 7 R a e P p g P B c d i o Q K j O C V m L h N v H g a w Q / 3 w X J i 1 j k A A a 2 u 3 u k 0 c C u X 2 Q H W O 1 w b 1 A h l S q s g O t A W p y X 8 7 c U 8 D x g M c R q G n X W 1 t o C x O A b k N v I x a 4 k j D z K P 8 a + y L X E f 8 R n v M A T o d B Y g j j 1 J q U A 3 K t a b 8 g J X i u W g n X e j x t Q m R P w U G 9 q K n s + e B l w t s S 4 1 P z s j M g h A c R L q g A v n 9 G B i g C j S 4 6 / v 0 E L r V Y J M G z A K q k c f n G d i p y A e u + 9 / X L + l h W I N V H / f D L I g S 3 k Y l v + 8 E 6 x r P i 5 k s T v i 3 + 8 e t Z g Y J 4 f l H u i 5 K L M G f V I K n S O F 7 e d V S S n G A x O q O Y e 5 2 a n x Q t A X w S h z B C A E + R B X 6 i l t Y 3 6 B 4 d E 7 k X 9 A v x e A x o N j C N h 8 H V 9 U 0 7 Z w P m R z 8 1 M 0 e r q s h i Q B V l A H E U a N B 4 I s o k + F q Q O r l O F X P a C u a 1 Q H U 9 z N 4 n B f 2 y 3 y x M a P F Z 7 R a 4 + m 6 f m Z i m J K y V v f S i m J z 5 c z 3 C z N q V t T M i 1 B j w K Q A I 4 6 C K U G V x 2 0 A 9 C G f z y / G J 5 c V H 0 h W A + x 5 j a y v I i r a 1 I o k L N x N K n z y Y n x F w t A J 8 B g X B s J d V E j U w s k B f 5 w N A I d X Z 2 C x 8 9 k A X e G 1 b S r K + t l a l 7 X m A N i l l P A B / E H 0 E K j U j 8 Y y 2 3 3 z Z J 1 Y 8 V t m 2 4 Y U 2 e n m A + s y 8 I 5 b X V 9 N u 6 1 g q Z v H l e P c h + r e Y r u c F N T Q z 7 V D m B r p 4 e M Y E Q p M S Y W l d 3 L 3 V 0 S a J C z U Q / b 3 Q M 8 9 R k Y 4 H P g B A 4 d o a 7 g G m W 2 l 6 A C r O 3 t 0 v t F V b + c A L m p t U n m A i C O i C H s Y U N I 3 d N l s / w H 2 p s 9 G j U M v K K 0 A l l z e s F + 6 z e i A f A U J e 2 u e E v L F i 1 X t p u z 6 I p 4 Z / Q U N W 8 Y H h 0 r M y b 4 c l q m C I u S + c o b G 1 u i u t u N B q c n a 0 t 4 c O 4 v i a j 7 7 o B w V 9 g Z U 3 V 6 b i u q A a C C 5 I g x W 0 c M P L S b S m N b B P / e K 3 q n v p Q S K o b U q 9 k A p b 3 o j Q z M 0 u f f / Y F P X r 4 g P s N q 9 w / 8 O f X h x B g t Q a / E 0 / 4 / E m s + N l N r u x e k b b M X 0 I H O l s h r g M c c D G g i w A r z y b l U j 6 J l h b q 7 e t n a S W j 7 + p Q 5 n Q A y 4 v + I l b V k C w q k k a U G N t i X 9 s u 3 1 f q H v p T k l B e k q c + F B K e r x O J 6 o V c 0 9 v N N D w 8 R G / c e J 0 u X r w g H g i W n f G D a s O I u c H W d 8 4 G r Q 1 5 8 V K A S M S b L g U n W B A B 9 4 r x N v S l G j N z t D z / T J A F 7 k Y 6 G R R g i I D n B A K s e F n Z A + o k v N y h S t 6 Z 9 a / C H i V 0 Q p i p 1 M i g + k f W c l H G z 0 s / h o W r d S 6 4 J c / N j C J U P U o m h a y l 3 n R w v w C V a X p 6 2 i i p D F i 6 j g u X + 0 1 z t Z j 3 5 A G w 6 g F 4 L 5 A 4 6 E t 1 9 3 Q L Q w T I A t J U M j b A Y I E A L p X w Y G u Y P m U p W t / B K y U 5 Z A Z S y I Q y S R C D L E J a l R K n f F v u R 6 1 r s 7 r A M 6 G C W c z x k Y T y Q q p 6 I N 7 n k 3 F q b W 2 l v r 4 + + u T m p + I B V Y L T 9 I a D A H 0 U n D u b 9 T 5 v K O g h 1 r n T 6 o p 2 E q k S M P H S K k n x t B a 0 4 Q h E l a 1 v g A D i r 3 z X 4 n 1 L U p g E k e V O + + a 2 l G L Y H x r 2 H p r A c x + K s l t M K P l P Q L 1 K K r 3 1 T O e C 9 P H j O K U L U X r r 7 T f p 9 p 3 v X S c f H i b w v H S y Y g Y v o N y E r M h 6 U B P 1 t b F 0 u M U V d D s G 5 2 G d p H j D f c 3 S O O E W g b Y e I E m g c k 4 G q Z B w Q M / F j 7 V M k E 4 S T x F J f a a n u 7 m E C 2 6 J K c J / P S Y Q y i q h 6 o 1 Y a g U K B U T j g X s M i H b 9 2 l X a 2 9 u n e W P s 5 j i h Y q j D N G 6 V X L C w i R f r g u 3 t b c d n b z d 1 Q w F j i m 6 A y o s x L x 2 T q + G 6 N 0 L I u 5 I E 0 c l Q T B q J S l O 5 i i d y 0 Y + C p E e / F v e O M 1 R O v p 6 S I p R C P R L L K Z r R R 4 b P H / p V n Z 2 d d J N V w C 3 u N + D h K e j b f q C c U K u F V c 2 E h Q 3 j W l N P n x g l N h A v 2 w n O 9 6 F M 5 G 7 A m J f C r a k Y T b g s I V Q v w B 2 b p J C k Q h L 7 G p l U W a k U c i A V J / 4 j T + A R v g g V D q Z F B x f k 8 U K g w y a Z V / 8 q Q L 8 U e G i / z S o g f N 5 m Z 2 f p 4 4 8 / E Y Y L W M T w E H / / T 3 + g P / 7 x f S H J Q L q 5 m W n X c R m v i 2 H 7 B d y W E L I L 0 0 m 2 N j a K 6 i p y e I c 7 w W 3 x a 8 B L H w v 9 K Y x n b S Y P 9 x 3 W A i Y R d D J o J I F 6 U j y O f Z v P Y B v l K v E + b 1 B z c + U Z D T o C X z 2 e 8 k X B r c w w t 8 h Z U c H w Y t Q F A S r X Y V d 2 2 H h p J E 2 t 8 b x o W a G u K K g 1 Z O 2 A 6 w R 5 5 u e l m 9 D 5 8 + d E j v G a b 7 6 5 R W + 8 8 X q x g c C 9 w x E V F j T c H v z 3 D r o M j h 0 y G c y k t X f 8 h Z r o Z E D B v b g 1 Z n B P s p s b Z o W X 6 T H H C 9 Q 9 Z C Y p Z C R Y j S B c L u u p j A y L M r E v c j N K b D 6 H / a x w Z k a k W G w j o u y N N 8 4 K Y 5 x X w G 7 n 6 0 f v R 6 m X Z s 2 P G 7 e m o s K E f s p l + V A r c O 1 h V r V A J E U m A O M 1 N 2 6 8 Q X / 6 0 5 + N E l M l g 2 4 N i X 0 Y Z A L C Y W d D g J s 1 0 m m F Q w U 4 y 1 Z C T n P j q l c U y W S j 0 o m k y k U u y W U m p 3 1 J P m w z o y g E j c z H j y + V D 9 A J B d Q L i a y 4 a a z 5 9 P J o m o a N U M t f M 9 H c A A O B E 9 5 7 7 x 2 a m P C + o l 8 t s L D g 7 F Q L N d A J l W b 7 q p n M b r g 9 U / v h g 8 M A U 8 A g g p n 4 j 7 Y v V b f y c n l M J C H R t H 0 j 4 d v 9 w j e h I s G s L z I d J + F g 4 W u J 5 U W 4 K 2 A n 5 X 6 7 b t c K D 4 q B g X 4 a H 5 d u O k e B e J t 9 T A e Y t t 1 W h b f O 4 L W i U p g 1 q L R 2 q 7 3 X E 0 q J w Y l A A r U P E m n H y p L + W b X P C c Q q p j w 1 N v h v V D z F l N B T l B a E T o n K p 1 f A 4 y S O F T H D M R R j U M C N k 3 K a 9 u X + g 1 n j o O b B S u j V l e g g g I T d 3 A / S 1 5 P l z z U Y c p 9 T p e v 8 q D C Y v o I p J F i a B 2 R E Z V F Q l Q o u S 2 I a P B + H S s u n q F / w 9 S K 5 E 8 c g C L Y N g h S J U z x u J L X N u e i D c e I C e v m V s 2 X 1 v 1 L y 3 Y f C D 9 6 X e q F e i O X 2 8 g 8 D m H A I 9 M X M N a P i k Q L 9 M B c V Y 1 J O c P I 8 0 N H e 3 k 4 b G 9 4 d V / 0 C K 7 g D b 5 9 O i r B m z / e X X x M m E q J j L T r Z X D m s Q P 8 K f U h 8 B s 8 + G o u L W H r 9 A 0 N i n C m k G S T U + 4 P L E t b G U q 5 X b 9 Z w u a D a g s l g q H n 8 x 8 g l s Z B L s q h k k E W V K 4 I V P 6 e X 8 7 Z G M J x H 1 X c / P 1 W 1 Q 3 a G i X o D l g c N N 5 j G g n x S L h K A c a q F L X v f L C / 3 g s / c v f u D s W c i h z U x a 4 C W e O n 3 I F 6 F F b g G G E M w y 1 Z d M y q G w u b m F n 0 6 E W c l K C Q s n Y i 7 A Y u d d f 0 m r k f 0 c N F e r a k / C a X I Y C T r f j E p s p i E K z k m S M P b a J B U W f F / 1 D Y 3 R P z 9 1 S D w z f h M F f 8 Z o P V k P 2 V Z 1 9 b N 5 4 C 6 e C v s y g 4 b u p k 8 X w j Q R 4 + l d E I V f G U 0 T Q n u X 1 U D x G G 4 d + 9 H e v n l l 8 Q + x q t Q s f E s F h Y W 6 b n n L h 7 Z 2 k 2 3 Z 6 K 0 t h e k j s I 0 b V M 7 Z Q L S W d Y N e C 6 Q 4 i o W B z S O d 8 6 U S 6 R l 7 n v e Z a l + 7 E C d K m 6 q y s / J q H f F M k E S 3 l b l 2 r 5 u M l f b O W U m F 2 Z z 5 L z P / c 9 C I U f v v H 1 J q L 5 + 4 b s P J R P G O e R Y h 5 4 U 9 G 0 F u 7 L D h q 7 e Y Q 3 Y c N A g P a e v n k V L 3 G n w g D H h z g v Q l 7 p + / R p 9 8 M F H t L 6 + T j 8 / f C w c c A c H B 0 X 5 n d t 3 y y b 9 + U H W M o a 8 k z K f 3 b r F B e j a U F o Q 5 O q 5 b g p F v U 1 k h L T S A 9 t A U m E l / C 3 t P E B 3 o j Z S t 1 Y o I V M x q T K Z 8 x 9 t X 0 + l n z f H q z j x u x f l h u r H G 6 w W M 5 n w O H y m w K 2 J W U V + X 9 h M 9 1 M m k x d S S l y g u C h 5 g Y D K d d i V H Q U Q 2 B 5 8 R s V R L k i A 2 0 C v J / D 9 7 H C / K 2 F j b o d 3 O x x y q 8 G j 5 Y h Y w A z X a w W k C c o v 9 2 W o t 8 V k 3 t x m i H 5 y U N + 8 A n X i X Z t n c t w D v L J e m f W r u G 8 Q Q O w X S Q G p Z O 7 L e s k 5 J J A 4 D m k k p V S J Z E J u D O i G u f F 9 9 7 2 r x t n 9 o W p N u S U K B 0 p z R N 4 p r w e o 2 H 2 o j K e 7 T E d U V B S o N Q p Y 2 M w P d n Z 2 b M k E v P T y i 9 y X k f 0 2 P 3 i 8 H K Y p 7 u v Y k Q l Q 5 f c W I r S 4 H R Q N x I d 8 H y B T J O T w T x 5 x s P 8 + D C j y m I n / c I I U w T 7 I o u c q S R I V k 2 r s k R d J q M q 1 n B P v 0 I 0 3 n z P O 7 x 9 V E y o A L 1 x B K J D H K K t A o u M k m W p l T 3 S U 6 l N 6 S O e 8 U y 2 2 A e K m J 5 q b j b 1 y I P L q h x 9 + b O y 5 I 8 P 9 m b 1 M Q F z j s w q L I O i 4 N x 8 V B F N X b b c 6 v h / o i y X o G G k / / G E C K 3 S C 8 J 9 i s p a b + y C E v m 9 N 8 r g y i y t i i T 6 V k U t C F S g a r V 7 S Y 0 B D M q K K F A 5 z z h f A P S j e 5 e 0 6 h x 1 f M I A p y V Y Q X u O Y N u 4 F L W 3 u D q j A u + + + Q w 8 e P D T 2 7 P F w K U K f c H / m S 5 d l T o 8 K U x t h W t 0 t 7 4 i f 6 X I m l J d g M L 7 B d Q r v A w T A d i l Z 9 G 0 c t x 5 T i f c 1 y a M n N J w y N 8 q 0 v K k p a l v X v a a q J R T Q G o f 7 i / l A Q S q V 1 L 4 V x 0 m 8 H Y f A 9 o j l k M k F a W R 0 z H b B 6 Z m p Z 8 a W C S / R a F P J P d r Y W O d k r / o l W S r V 0 2 L P X J / K G h 0 0 N n h l a r A c O N t t E g z S t d b A m c A V b E g S 6 I Q x t o t k 4 Q + J b f U Z H E N u l P G 2 7 F M h c Z k i k z i O / d L 8 j R t X x D V U C 3 Q r R G f 0 I A k X c p x E 8 Y p E l G s M w 2 o i T n H F D h k W Q B m M x P S T Q x S k o Z F R W l t d p Z 1 t u R Y T o s Q i O q w b 8 J m e 3 n 5 6 8 c X r 9 O 2 t 7 4 z S U r g t v n 1 c u D t X q u 4 o w 0 1 c I 9 Q j 7 u c d F h Q p + I + o V 0 W S l C S 7 c p B C H Z N J J 4 3 c V p / T k t r n X H R h + B o O k q o 0 m 5 u p p x V x 7 / h C + a L s p J M d 0 Y 6 L f D A N A 6 I V 0 Y B Y C e o Y 0 N n V L Q g B q E W u O z o 7 R Z 8 J a s L A 4 J D 4 D A J E O g F e C Q C / Q 7 r 0 3 K U y / z r l E V G P s P M m q e R 9 H q r B K y 1 W + G L C v k p q n / M S C V R K F q n O o V w l H M P / 4 B g s e v L z I t f K Y P 3 7 q 3 / z Y r F e V 5 v 4 r d q U + k x y V F n e F H B c h K k E X N 4 D B 9 M y j k G 9 U e s d Z d I Z M Q 3 C u q 6 S j C A k 7 8 9 p 9 i v C G q t n g M m M + V x a j F f p S B 5 9 P 9 8 z 4 E 1 i j R W / Y z M T W m + Y 4 I i s 4 k / 4 h S S D m f A y S s t M w k g y G Q l E K N k 2 E o h i b O s m 9 O L n L J / F Q G 6 A t + V A L m 6 q + l S T Z r I x J m + K r 4 7 3 O D d Q j 1 J q d j N E W / s B O u k w V 2 p i V V Y k q 8 + b H R w X h r b E 1 I O 0 C o W C Y h Y w J j E C P X U 2 a G o F Y s U r y 6 g T 3 j p V u j a U i p A 0 3 O 6 N W I o M q D O q g v O f Y r l M K N d z u 2 1 9 3 0 g 6 a T h J K W T s i 2 1 I J u k x w R s 0 N O T s v e 8 H g e 8 m 5 0 0 G H A C z q w l u D b D F W i S 3 4 v r N A S r X Y V d 2 V I A H O j r a d p X m 6 m C a O p v y t L K 8 Z G u k U J i c e E x j p 8 4 Y e 6 W A x d B q u I C K i N n O k 0 8 m B W E f b A 9 R o q W 6 m O J H C T W Y r C P B j e h z / R n 6 6 m l 1 r k n y 3 X M S v 0 Y 9 4 Y R c J l R + y 7 6 Q T q p c E q N E A m H f 2 F Z q n F T r k D B w K 0 k k t z G Y K 2 f l F v J Z + u 1 v X 5 M X d k D U T J G P h P m r t B t V q E c p B S j X m z G b s R d E R o U K g 3 6 S W w Q h Q S a + Z 0 y L Q N w J H V A V 4 f O n A z H b E C f w h a s v 0 J k z p 3 8 R Z A K s Z A L g D g U y q a k x / m B 8 o U a m M v J Y 9 8 v I p B 0 r + b x G K v 0 4 i C N y Y 1 v k c r s h X j s j y 4 H G o f T U 0 7 b N G i S e E F + k k Y 6 T M F 6 w u h u k P s 1 9 R w f m U u H 6 K z q 5 8 m d a 2 z p o Y G h Y t I D T z 5 6 K Y j V N X g E L m U W i k s S 7 a a K P x o 8 v Q m 0 t U W m x O z t w P R d / B A G K x N A q v 7 4 v K r 0 6 p s p k L q U Q y m W u p J F 5 T E k o P T e 3 F c n e + 6 t X y u p z t a l m E g q I R p S q h 5 u S O V C v U g q S y G 1 + l D p m 1 1 e C V F J Q 6 9 F i Y b f h 0 R N C t V O x 9 v A c 1 l a X x U J m y n t 5 L 1 3 a 4 f / X g t K 6 o b Z l 4 t q t l R v H S q R Q g a b v f 2 a U m f 8 n j n N Z 0 U Q u 9 j k X p D G 3 i w m f E W S S 2 0 0 e l 6 n x i p o S q q d 9 l 9 U a / S Y g s Q z x 7 o J 6 l W S w d u E W 7 B Z w b m 2 z D 8 + L F w r r 3 / a W H L P C v X V 0 d o t t h R W W j P / a g O e C u i A q v F 7 5 k U T F V 9 t m 3 V G f P d m R E f n g h d d E X v w f 4 / O C T P g f I z f J Z R 5 D r k s r W P a I 0 7 u / e d m 4 w t r A c y h m r 6 m r D X 0 S + S D M V O 5 E + 0 s B n E 8 R 3 Q g D u V i Y G l i Y n 7 M 1 m W P g F / c K S P M 6 F o R e L w v E b 5 1 E W G + A E a K r K S 8 W L 8 D A r k o 9 C V M 9 b o l X b i j 5 Y Y j n g T T W y a Q w + k t 6 e U k S F V 3 t 5 + l K f 5 L e P L l P 8 1 v c m R A E U s d N o m A 7 G p S q m y S K L B f b R p K f N V Q 8 U S b z S 8 + d F H W 2 p u n 2 s 0 U P T 8 Y f J u f C f G O 8 g R C 2 f B Z U S E k k J A k 8 G C v s y u o B T Y E t u j a c p + m p p 3 T 6 7 H k a f / S Q T p 0 5 Z 9 y T P R C z H M t u Y h z K i u 1 k g L 6 e 8 t / 3 O G x c 6 M 3 S Y K v 3 A b J 8 P k C 3 p q O 0 b Z l H J R t U Y 5 M h 3 i s n 8 W N s n + n K 8 L k g e a R r 0 P f T Y b o y g E W 3 C / T J e F S U t 8 W z t L b H Z O J t Q Q T k R e K g j K U N 5 / 2 J N M 1 u B L n c k D 5 G r u 8 j D o i a q o F 9 4 v x v / s P b x h X W D o d C q F Q 6 S L N L e K y g L M i k E v b l w 8 c D s Y N T + X F D n z s F c z p W G M S S M S p g J P p Z k F r w i F B r T O F e 7 E i H h Z 7 r a W 3 a F w b S 1 J W A P y P R J x P S C P P K S I q i f G v 7 m Y C Y E T z W m a X d V L A 4 y x m v y a k 9 W d k N M D H Q V w z Q 4 + W Q f K e c 2 h p y 1 N W Y o 4 7 4 H m X S S T H 1 R R D D S J 8 / i V I 2 V x C k k p J G H V N S x i g 3 t o V h A c c N 8 k R Y U i X T s t w k l k w g V E E j 1 L l z w 3 T x 0 k n j i m s F o v 8 H 9 P I R P U x i B a 4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1 d 0 6 0 5 3 - 5 a 1 c - 4 2 b 7 - 9 5 3 6 - 8 0 9 4 9 4 1 7 8 b b 7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 - 0 . 0 8 7 2 5 1 6 7 0 1 5 2 4 7 0 8 8 7 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7 N S U R B V H h e 5 X 1 Z c x x H k q b X X Q A K 9 3 0 T v A + R E k l d L Y m S W l L P H j b d N r Y P + z A P a 2 v 7 s L 9 j f 8 r u w 4 z Z z K 7 t m u 3 0 d L d 6 d F B n S 6 J E i i I l U i R A k L j v + 6 i 7 1 r + I j M q o r M y s z E I B K O 1 8 Q C A y I w u V V 3 z h H h 4 e H o H f f 3 6 r Q H W E l r 6 L l E w 3 U j a b o 1 w u R / l 8 n g q F g k j A u e 4 M D b V l i / s K 9 x c i 1 N e c o 6 4 m + X k r N j Y 2 q K 2 t z d j z h / 1 M g B o i 8 j t / 4 v P M b Y X E t s J 7 Z 5 M i z 2 Y z F A 5 H x L Y V u K S J 1 T C d 7 s o a J Z V x d y 5 C z w 9 k j L 1 y p L I B C n A e D R c o k w t Q J C S v 8 b u Z K K 3 v B c W 2 E 9 Q 1 f / A o T q F g g X 5 9 O k V 7 6 Q B 9 + T R G c f 6 + 5 w f 5 v H z R E 6 s R W t l 1 / y 4 g w B f S z 8 / / Y p / z 9 X 4 8 H q d c 3 t h h B P B P D l D H 9 B w p G A y K l G g M U 0 / T F k 0 8 e S S O 1 w t C f / t f / u t / M 7 a P H R 1 D V 2 g / F X c k E / I c b / Y 3 Z + m r Z z H q Z P J 8 O h G n k f Y s k y l P i 9 t B m l o P U S 9 v 6 1 h Y W K C u r i 5 j z w Q q Y a h y X e G K K g n x 4 e O 4 I A S / T z r f k 6 X z v R l q i h Y o E Z P X F w y W E k 0 H 6 k V H Y + l 1 5 f N c K H 9 t g X t y Q 5 i v I 1 8 I 0 N J O i F o b 8 C x i 9 H Q 9 T L t p 9 5 u 6 c S r N / y u v e Z d J 9 M p o W m z j + 7 a S A d p O B W l 2 M 0 R B U Y F J 7 H s B P r f K R O 5 v y Y n 7 t W K s I y v I i Y Z A w Q + p d H A V o d 1 M A w 3 0 N N L W 5 p p R e v y o G w n V e + p F l i J c y T P O Z O p N 5 O i 5 f v n y 0 b L G W R i 8 M Z b k S k U 0 v R G i R 0 t h e u N k S r S w C n N z 8 z Q w 0 G / s H Q x T G 2 E a Y e n o h B m u h J 1 M G i X N U F l B u M P G E 5 Z 8 k 2 t h e n k 4 R V 9 P x Y x S d z R x I / C r U S m V G i 3 X m G S J / A 1 / T 5 o r b b U A w V 8 a l u 9 K B y T n D / N R b s y M A o Y f U i F H g p Q K h U I U 4 d a u s 3 m X 5 p 4 + E M e P G 0 y o b w / / j V d A O N Z I i f Y L t L U n i Q R C 6 W Q K B q C S J A V h m m N 5 o d 5 Z o T 6 r V B l g Z m a W h o Y G j T 1 3 5 P M 5 R w l z f z 7 C R C 5 X Z S A R r d I Q w K X g / W c y a X 7 h U a O 0 d s D 3 f / Y k R m + e S g k V 6 v P J u F C F f 1 y M i G N O 0 J + N D j R O k M J v n S o 9 j u + G m n Y Q n O 3 J c C N U y k x I 1 Y 8 e l x K / G l K B U J J U Q c p u P 6 B s a k 8 c P 0 4 E / v m L 4 y d U v O s 6 Z d J 5 S k Q z l M n m W Z 1 K c y u f p x A T K c f i Z 3 m H W z X u T 4 B M L 4 2 k 6 Q v W 8 1 P c i g K K S A r v n E k y A V m a P J u i k d E R o 7 S 2 m G G 1 s r 8 1 z w Q s 0 B K T K s W q o 1 5 p c E l 3 u R U e b M l S I 2 1 S Y 1 P C t c L Y I c l q E V R S 3 L M b I J 0 / Y l V U J w s I Y k U b S 4 w X D Y n x 8 3 K E N k Q f q 0 A v 8 / N 0 u z T c y 6 P l M G s A Y a P E P 9 D H w 7 n D f B 6 o p D u p A G s X B Z p j i W 6 F 0 3 P S y a R y 1 Z 8 C q a J R f g 8 r 3 / E d H S + O n V A N 3 d c p l Z J S C d J J q X q A n l 8 Z S I s K 9 o B b Y Q U r m R R A q g / + 5 Q O 6 c O E 8 D Q 8 P G a W o P n z D c r M E 2 1 u b 1 N z S a u x V B i o w z u E E q D X o 6 8 F A 8 i N L 0 w v c 1 9 r c D 1 I 7 q 4 N 7 u 7 s U b 2 g Q F U H h 5 y W W L J y j X 4 P / i X E F V G p j J Y A 8 u K d 3 b a S P H b F w j i z 6 b h p w v l + d M P t V U B 8 3 9 w P c w B X o d H e W F r j R u M 8 N x E G B s 6 q 7 S n B D s c d 9 P T Q I V l R L q l g s S P v L 3 4 l j x 4 V j J V R j z 3 V K J k 0 y g S B 6 A p x I 4 1 Q O o I J c 6 1 2 j 5 N 4 u d X b 3 G K X 2 Q O V H R f c D q E I 5 V l s g N V W r r w D J o v p w q J j o i M N Q M t J e 3 i H R 1 c z b M 1 H R k n c z o X q b c / Q 5 q 3 R p b k B u c J 9 Q W e 8 U f m b V 9 0 R H j i Z W Y H G U x N Q l 1 N 3 Z K F 3 m B g i S + t v p K G 0 w m R W i / F 3 4 X i t g n I F a r W O J v / u H h d q r r F 7 g h V R 6 U q S K x 4 O 0 t 3 R 8 p G J C f e d c M w 8 R z f 3 X a H 8 f / Y x M T c k E 4 J m f D D + g s b E x 8 d 2 L 8 7 M U a D 4 h K i q O 1 Q p o 6 V W r 7 g R Y B q / 0 S 7 U K 0 s c K S K d z 3 M / Y Z j W o 2 b A W O u E p E / Q E E x Q S U m / Z u 7 h B W O G G A a S y H t M x 0 J I r M / l b 8 a s T K f o L q 9 Q w 1 3 c n Z C P w z V S U t p I m K Y 8 K i j x W q H K d U E g g V D g c J l Y A a H v + t v j M U S P w z 1 8 e P a E 6 R 6 7 R 1 h b G b c o t e j p Z 7 I h T i U w A H n f z + m d i X O j C x Q s U j H c K q 9 P O z i 4 l E k 3 y Q w f A G l d e m M C h U m G 8 p r t J V r z 5 z T A 9 W Q s J 4 u A z q J y A k x T E / 0 N V w / X i r u y r j w R U y J D x A T t V D s A 4 0 P y 2 S R g n a W R F N J i l d L 5 y H w n 3 j P s 6 S i j y 6 N D L d E I p K R U O h / g 9 8 3 O f O X p S B f 5 w x I R q b G 6 j b O Q k p d O H Q y Y A K t e Z 7 g z 1 J P I 0 N T V F j Z 1 j o r X N s E S J G B I l y e I R f R k d u B 6 8 E C d g / A T q J A D L 3 + J O i K 9 J 7 A p A Q q h B 4 K z B H 4 z t w C I H 1 U 0 B / S k Q H J 3 y g V Z T F b w 5 H q e 3 L W q X A k z Z M M Z 4 e Q S D b T m 6 w F J P J x 6 M E l D 9 u h v 2 6 P l h S Y p 0 l m h / Z 4 N a j Q H v 2 1 P c W C Q P Z t U 7 D F R D q m g 0 R O m 1 o y f U k c v x f O w k q 3 m m 8 c F K J O A g Z A J Q o a F K o b X e 3 t 4 u q i 6 K T I B O J l w L k E q a l d l O b Q K Z U E k / Z Y I s 8 H f j k t C X 6 W b J A D J t p Y K i 4 m N c a I m P q 0 H j q 4 N p M d 6 j 0 B j N U y a b p V 5 W w S B B f l q Q 0 s F K J h B R A V 4 T X h / B 7 E a o T I q p v t 7 y f q P I g S i f V p E J u D Z C N B y b N f b q B 1 7 q A / Z V w v t E H Y t 3 X T O O H h 1 Y Q t 3 2 + J o O j k T f V d r b 4 9 a b K 5 M i l K r M 6 g G p 3 A q n c j u g c q O T j 0 7 5 W G K Z W l u 9 W / D Q p 1 O t n I 4 Z r q R D h m k c 5 O C P C O i D y L r 7 j w K I i f 5 H a z w v v A i k a x T R y v I C d f f 0 G Z + S 0 C U o X J y U G 4 / V Z e e g 6 I y s 0 9 U x 2 a D k + J y p b I F J L n Z L A E v f r e l Y W d / r T O M z e r w 3 a u w d D e y k F K D K V Y 5 3 p y S V 7 E 8 F a H f x j j h 2 F O C z 8 9 8 j S P G W P o I A g F o F c q g E W H M r n M r d c G 0 o L U z t f s g E R C K R E j K B 8 L h m R S Z I F L w 7 E E m R 6 f G K N O V b y Q S A 1 F C 3 4 B m g G y V A J p i N d Y B M j 1 i y A i D T F 5 M x u j M b r S m Z g L a Y K Q n h x w c y Y a z J i t Y G e T 9 W Q w a k O x o t p f 4 e B S r V D T 1 X C e 8 t x Z p 2 c 9 8 L t n X y M B L e t 1 1 5 z V M h 0 i + M E K i g S j q p B K j c C q d y J 6 D y w g X o k / E Y b e + V u 7 5 4 h n F e q 7 R C R x 8 q 5 c b a a l G 6 n u l y d g h V 2 E 6 H u N J K t Q 2 E n G S 1 M B o u Z w o 8 C x R e H 0 t V d H K t B h M 7 / b R g m N s B 9 P v O d m f F m J k V v z 6 1 Y 2 y Z u L / a J S Q v 3 L 7 Q V z 0 q V K o j y F V S 9 Q x 1 L s U a h b U + H l a q / d u y Q U P 3 V V a l 5 E 3 q N 1 0 J X j 5 j B S R J l F v d p n i B H t w 7 g K g 3 V A g n t H V 0 C r L p Q C W b X 8 t Q J p 2 m / T 3 p B v P 1 s y j t Z w O 0 s h P k S p s R 4 1 T o 3 4 x 1 Z o X B A o B T K Q B D h n 7 L 2 H Y y g R 8 U P 8 0 b G w w l a S 7 Z e I q H Q m G 6 1 L 1 t 7 B n g j 6 M l h m r V 3 7 R v K 5 k P C 1 7 r j U q o c + h P x T q v G k c P F / w m d X 7 V P n W M X C W u X y U W P Q W 1 r Z c p 2 J V 5 A b y l l 3 b C d J F b + o s X L x i l / o B + V D X A G F B D Q 4 w i 0 S g 1 N M r O P z y 5 0 e e C x R G A d H t z d F M 8 i 7 v T e f r k Y Y Z 2 d v d p Y 3 2 N c u k k E 3 G X s n x + 3 P / 4 a q m q V U s U A m a n C e S A V M d g 9 T y r d y D x 8 o 5 5 7 q m l X a H i B Q p S 7 e 0 N z 9 L 6 5 p b Y T q d T 9 N Y p p G S Z N / 1 h w a 2 + 6 M e w j e e M x N 1 2 S v S A V O V 1 t J b p 0 P t Q O 6 w x K F U P N 6 g n Q O U 6 7 M q 8 A q 0 + v K T h Q X 3 v 3 n 2 j 1 B / Q j / I C 9 G + A e / M R u j 2 x L / w M Y V p H Q l 9 r j 1 U p 3 E o j k 6 i 9 U V Z G I M 0 t z P x 2 h E 7 3 s t o X T 1 B / R 4 z a 2 j v o 9 k I r N T Y 1 U Z j P j 9 Z / e X X X + I / a I x 4 s V Y d B e P h O Y u o F C N a h X e 8 r 5 6 Q l 8 N 1 z G b r a v 0 3 P n e q m 9 t Y W U Z Z I N P O 7 z Q n n W j W N 5 S j g V m + Q 6 0 k S K k d J j F x Y 6 m e t U + C P X 9 0 5 t K f Q 2 P 0 C 7 e + b V j 2 d V A r 6 t o J d m R d E + a W + y S 3 l 4 j a 3 t t x Y t o Q 2 + Y U n j K P e A O m A C u 0 F c O u B O R o t u u i M V g A s a j A C O A E q n 1 I D g Z s P s p Q N + b t + r + i m S X r + r D m t x e s 9 O A H v V q n A T g P P V s D V K s 2 N T 7 V Q l j 0 d e h m 2 k X B d y u o X D g U o s / m 9 8 Y n a g 5 / h 4 f w E A y F h Y b G z 6 i n U k k w A X I u A J I t 3 D J i u p P 3 P 0 P V K J k C N 7 b h V x O l 1 a T 2 D Q e K r K S n R P p s o n 7 M E s z y e m 4 6 3 L 4 S F J A m S 9 1 m + X r F M Y / T h I / M 6 c A / w D a w W I J S C P t 7 n B j Q w B 4 G X + o N 9 l V A X c 7 k C k 0 w + 6 8 P 4 0 d r D 2 i L a c Z k v X k o k J Z k A a 6 7 D p s g X f p 7 Z o b / / 4 A m 1 R Z N 0 Z 2 K X W u K m 2 g L o 3 4 + + l h X o x 1 Q D v T J Z M d y e F Z M f I Q E a j M 7 / D e 5 z W A F j C q S X t c V + 4 3 S e 3 j l b e 0 I B X L W E N I H H B H C q C 3 0 3 o o e L 7 m 5 I m M 1 r B V p / h b d O p 4 T P I S y i b q j F c I B d n b G r a 3 h H S D l O g a Z L o v w w c C h 9 q K a u U 8 I Q o W 4 C s C N Q O b x 8 x h 7 w q W t M t F L P y E V K 5 u N 0 9 V Q T 9 w P M 7 7 O + v J Z 4 + b n Q j 6 k G V m s f / N 0 w h q Q w z G T B 1 H m M j a E C w 9 I H g G T W M R 6 o Q X Z Q B o H D w K d P p I q G 6 8 H 0 m H O 9 z g T e 5 I a o z e b Z W Y H 7 x Q R I k A p q L D Q x r 1 N S / K H y d 5 Y T q 0 C h p p M l d b Z W 6 V A k V D q X K L H q 6 T e k 5 z r s y r w C Z t t 1 I 5 A I A r g o 1 U / H + j 5 G 0 I 0 d h v V 0 m K d U K 8 D a h T E k H f B K B 5 l 6 A 8 + K A 8 L C l 6 8 l J 8 a a l O + f E 0 5 3 l U u 1 W m J y M S X U P g w o 4 z F N r I Q F w a x o Z T K t J 2 X s C C t g i M F 7 1 / E a P 4 d X T 6 T o 3 T N J 8 U z 0 c b Z a w a 0 + 6 b l K q J f Z w u H 4 L N a 8 D 9 X c 9 7 z t m B M S o H I d d m V + I J x g W a 0 C 9 g 3 v g 0 3 L d A N Y s B D Y R U E n F w D r m h 1 u P n Z / 8 E n D / w 8 m c y t 0 K X V n N i I G n S P N p i E A a t 4 P 8 x E x p X 8 / 4 9 6 2 j X b i e I E u J J 7 R m 2 M 7 L L E O 9 s z C F n V s Y r N V t P U Z J v a X f N 0 N 0 b z w S b T D U G t W x M 7 A 2 J o e G w L S C I P g O q k g n X T 3 r I 2 9 k P C w 1 4 0 v t Y B b v U J e k r g M j U W g 8 Z J W c 2 v 0 8 / 7 X d 8 u v 5 A A I t V 5 x 9 S R X u Q 6 7 M j 9 A 4 B Q E U A E w E x T q h n L z g U f C U H v O t a O 8 s r x E X T Y T E e H 9 H e H K 8 L o x D c M J 3 0 5 F R c t u D X a i 4 + P x m J g m f 0 o L I w Y i n e c W + y C V a 3 x 2 k 5 7 u 9 h p 7 3 g F p h G k n 8 J h X U C q a H + z u b A s r r n z f B X 6 O 3 e J 9 I m 6 E N a K U 7 p + o T 4 G p F d y s f s r i p 6 x + Y p v y F E 7 9 L I 7 X C j X t Q z X 1 X u E H K / t O i k Q q A S r X Y V f m F 8 u 7 Z q V A 3 w i S A G N B 6 F z D I 6 G S m m 1 H J g D e 3 4 p M b q G 5 X h x J 0 x 5 L G M x Z c g L i 3 r X E 8 8 J p F 4 C b D 2 b z 2 p E J h g m 0 o F 7 m M p 0 e b B W D r n 7 R 3 l B K p v b o t i 2 Z U I L n 6 K S S N i W a q a W 1 j S b 3 B w S Z v p + N 0 o e P G + j m R D l R d I 8 K N Q g 8 y N K u V n C r X 8 j L E 5 c 3 n L O t y 9 W m m g p e q 5 n 8 q A B f N A U Y H z D v B 5 X j v N G 5 d n O N W V t d M b b c 0 c Q q k B V K 3 Q M 6 u I J i A i A C k K i z I S q S D h A d H X P M i I X v X I Q P 6 x 4 J q s + C 6 4 U E c Z M W k A o 6 Q K o L i R l j r z J W W f X S c f 2 E v c n 8 L q u q e I 4 6 8 b 9 6 a n p Z A G j t L / Z K y Y O 4 e 5 B C 6 D N Z c Y b v 2 Y o L / N 3 6 n L C j g E 6 o b K X O q 0 / U r A / V 1 H O l 2 H c 6 K l V P I a Z Z j + A X N w v 1 z + S Y K 5 p b 5 I h / N V j a 1 w Z d + X y Y x g 5 v A Z w a 4 0 o / a f E Y Q H L 0 k x C w 5 Z X R l I g i K 2 J I G H O 1 E J 8 C j Q F c g L h + V o R u p l Y Y H O g S x E I K 5 6 W R J V y o H F r L T c K 9 M C i J A i O F e s p 9 T A B M 7 V e A 3 y I a C o Q E u D a U s Y 1 m 5 A Y 8 k 1 r B r Z 4 h t 6 Y 8 p 2 z k j K j D N f n 5 8 6 0 f a l K r g 8 2 X S / p O S A A u W s 9 1 2 J U d F B j 3 O W f T E j o h l U p S L O Z f j 0 f l 1 / s I u J O n T B K o m A h x B p K j 8 Q M 3 v p h E x N k M d T c m K R e I i k 4 6 b l 0 n D u Y 8 I U j K d j J I O + m A c A F S 8 S Z 0 p F g N i M X K B 4 a 9 4 O O f A 3 x + 8 3 / b a Y a u n + 0 q u x Y / w H 2 r f 8 V 4 G 4 Y I A E y 0 j I X z Q n r Z Y W W J + 6 0 9 U t X G v S M K 7 4 / z 1 Q 8 s 6 7 A 7 p y p T u T n U w d f I D y B e e G L s H w y l O k m V S P R i E L e 0 7 w Q c N Z k A B C y p F F B E D W Q C 1 Z A J y G d L f e H w m k R / j a E 8 I q A m g X Q 3 T i W F V S y Z S g s y I c Y d P N A B 9 L v w K J A Q k 7 y Z + 1 m P l 8 N i r A p l n 3 B f B G o k s D A 3 W z W Z g B i V D g 2 s k w y x p t e / 2 z M R o a o i Y t O t a X k f b q 8 K / 3 p z X F 4 T y H R / O i M a E j Q o D + Z l o 6 q g N 7 Q g E y Z k f v g I k y f z I h 5 G r e B W 3 8 r q J G f Y z o Z P y v 0 D o i a E s k 4 c P A 6 o A C a z m 2 F R K R V 0 8 i h g 6 r d f o M X V A Y 9 y J 8 D 7 W g f + E 9 b C l Q 2 p W i G I p z I l 4 x h I g z h / 1 4 c k S W F t Q 1 B I 9 C 3 g x Y 2 Q 0 z / M F K h v w F s U X C e M t Z e r d r q V D d s 7 i E + + G 6 L p 9 R B d H Z D X Y 2 3 w P 3 k S E y q r w t u n z f u 9 N A T V E M o P 0 c W B k P A + U f 0 9 S A V 9 E D z F H M J T C B 7 i o H V l y D 4 v A q z W A n x 3 u P X q U 0 P b E D 8 w y X J r A l S u w 6 7 s o I B 0 g G / d 0 k 6 Q s p p 1 z A t 5 E O i y E h D p t B q o w P g w M n S 1 S J U G J u N v n p m E x G I H C i A u 1 M k s n + 7 B Q l g E g 3 k 0 u 0 d X h s x 7 q h b 9 P f a e I G q 6 C v p S u E s Q W Z D a o S v 0 1 s k U D b J K a g e o V B i i g D k d 3 w v v E 7 v + H l B 0 s z I I h b F C Z U C C A e c g c K t 3 y I s J + 5 z Q l 8 o F u 3 k L 1 1 R 9 w g I L o g W q N m V Z E 4 f P n l L 3 j g u w l u E l w M I E n z i M P 3 m F n 6 i x g N X C 5 g Z 9 m n h T I i E I B n U O 8 6 R A H g w I 6 w O o I C 7 U R E g w q E 0 j b W m 6 O C z j P 1 g f L 6 a p V A N r L M G J e d N w A e m K i E x w M X K D 3 s D g u h a 2 Q s X p L A D M 6 U 7 T Y L 5 6 K l X E e 8 V o t H m h W V w R s Q D z Y n g B Q w o i x J r 7 Z d Q G f P 2 4 h 1 S 2 o a x + + 0 0 H V v l Q t / S + k 0 q A H c H s y m o B V Q F E Q J F N R G r 1 X u k l v F + X r r b 4 A c a q v p / D y h M B E d h f 9 9 y w O 3 t / 8 B m 1 N M j 7 A v D C d G C 6 i g 7 E g K + E C K V E r A 0 9 d P N M s n R g G J M M n 3 E f q h L m N + X S N G g Y O p p y I r q T F 1 w f T o l l i J S X B W 4 L z s p Y n g j m d 6 z a g W 1 U F e v g s B + 4 1 T / k 1 u O Q U g f F g Q j V 0 P U c S 6 d S E h 0 n 1 D i O C p r i d E U b + w E R k L I U l t q q w f o 9 1 R I q w f y B n y F M z F g E Q A 8 b N m W p w J C C v f 0 D Y h s N h P 5 4 M 1 p b 8 Z W m O i J 8 W C W 8 d b Z A s 7 P z w h i g 4 + Z D Y 4 O B R g n S o h K w Y A I k c E O 0 Q H e m 3 Y 0 l G K R G H w 0 J f U Z d u g b z y Z J B Z t V w Q E 1 + d c T d S + W g 0 O s t t n d z Z i z 8 a s A 1 A 1 d f X V I e 5 V 7 J d N i k U 1 7 T 6 I O I O A 0 O p 4 M 3 x c m O c n 1 p f 9 9 + z A Z 3 W y u c Y M l 5 m v t 7 a j E 1 z O Y F x l d K C a U C w 0 B a o E + j S 6 e I 9 t F X j c X S g B e G S k n w t S Y B d V w + 0 y c 8 J R S g X r b G n Q m k G i p k W N R N Q Z U D r 9 i 4 Z 2 H q v y I R Y r U r w 5 E V g Y L s N y r o 1 U S p z N V a A d 3 q n D y G J C 2 q 2 J J W S L O O + 0 1 V 9 6 G w p p N f Y 8 R h o 8 D P A l 7 l 6 F x j N i 2 u 0 w 5 o + e z g x Y S + v S 1 j K V S C 2 + 1 j 0 P e Z M f E Q 3 t i A 3 c d h k M B 4 F I C 4 5 m 6 A 6 m U 9 J w a Q n X B 9 O E M v D h h x I f g U 6 0 n 7 / g 5 I o 5 4 X p J q + O A L K l Q M w + o H K A A M g 6 C e W F 1 X A 9 5 z s y h Q H n v X Q 1 L k Q P E c y I p i n A j 4 P k m F 6 C 7 5 V + Q D W A n r d x G Z x j z f g j 1 g g W X e q S V W r f K E m B O I 3 v c r r A R j T a Y n J C r j 4 8 D O 6 f / 9 H W t v R m j 6 G 9 V I R A V b B i y r X 3 O z u W a F W u s D D d U I P t 7 b 7 X D / g H P u Q + 1 K o Y K i c e o W E t U x f 5 A 0 T 9 t y A l t z t n H Z o S 0 T p c s 8 O P d + f o j f P G o U G l H u R 3 v g g b o T V A V h N U z n J U h f 9 Q g U 4 D F v x e D l S l F h 6 e L R 8 I C Y G s d V 6 w p g p g H 1 E 6 E W D g j N + z s R 1 c y F z g 3 v 9 x D H z O O i 0 k 2 4 3 9 v y j a k L B 0 q q T q Z T 1 5 T d w V K T 7 u z / 8 I M b E X r 3 c Q 8 8 9 d 0 l Y j B 4 / H q f v v 7 8 r g q O U V b q j u a y S + 0 d H G 3 0 U W M b g I Q C 8 x f 0 p h B w 7 a v S 2 h a k z I Q e h d b x 6 o t z A c K r T J L g O N f C s x q 0 A 5 f z 6 P J c p q Y T B b T u g D w W g Q Q H Z o F 1 g V j C m y I 8 b / W E c g z G n V j D f h / m d K E E x F v m r F v w Y 8 Y X + U s f Q a e E Z o S 7 K m h 8 X U F H / 0 1 8 / T / M b B Z o n 2 e R i D O T M m d P 0 w g v P i + 3 F x U W 6 e f N T s S o 8 A G m h g L E T N 3 g x l z u N n + j P R s x c 5 V 8 9 E h L 6 F 3 b e 5 X C k t b 5 f V D a 4 + R w 1 o M b Z 4 T H 3 / x B 5 V m + s Q K S 3 T y W F G V z h k s 2 y q k A 4 L / u u e i x 3 B a y t d f g o f e 5 4 V w U h a 2 R 9 9 5 O q 6 k P t 7 v F L h q 6 J E 3 s g 0 V E R r T E i X 9 5 Q Z 9 i 2 N Y N K 1 9 v b S 1 d f e Z v a 2 t p o d 3 e H Z m e m 6 Y s v v h Q E w 9 i J G / T F B K y o F I c B z 0 0 H 9 i / 0 Z I t 9 E D y h Q R u v a y y J Y + 3 z 4 X P K Z 2 5 u w 7 6 S + 4 U e T w P h z 0 B Y e I 7 r U B 7 l V l w d z A j v e R 2 4 P + v A 8 J d P D D U y b / b t Y P p P R d Q K / V y N C 1 L K Y c p / J F u 7 1 d 2 9 1 k F 8 C h / d 2 O 8 o 1 n d f 6 c P b P / q v 7 U 0 X K Z W y d 4 S 1 u / C j I h R c Y D B o C e s S T L l 8 f x W R Y 6 k T M k b y M R 1 j Y 2 O T f u S + 1 / k L 5 6 i n p 8 d z j L 5 K w D S R j k 5 V c U z 8 z C 2 7 c u b F U 1 L X f I v 7 I F C b 1 I R E t N 6 Y S D l q Y 5 0 E 7 s 3 J V Q u r h 3 l 2 E A r W R 8 z e x R Q T J 3 h Z 5 R 6 v / t b T A G 1 l Y s K 1 C v 6 K V s T S c / T q h U 7 6 x C Y a V C 3 h 5 j S L 2 I I F U Z e z n O f 4 S R S o K + G f 0 F U 1 b + C P I o 8 i y 1 G R x g 2 6 a u R E J p i h 4 b a F c M l Y X U K / 7 n g 8 T n 1 9 v f T u e + / Q 4 O C g I N P u 7 i 5 N T k 7 S R x 9 + T P d + u C e W x / H j K a H g 5 I 2 h e 8 b r 1 4 y g m f r s X q w v h Y F h V P Y t z L n S 7 h X S Z N H D o K 4 7 z L M r U 7 6 V T D s W 7 w n U A y f V c 3 1 N V k b U 1 5 f H C m W W P Q B S K E A 5 y o b b q z Y 4 1 A J m H e A c m 8 i q r M 8 s o X 7 y 9 Z 8 N X R d o a 0 s G r 9 Q d Y t U F W C + k 2 g u r B n h p X o H r s r Z Y e e 4 E Y 2 X 3 S s C 9 Q 5 o t L y 3 T w u K S + K 6 x s R N i d U R 4 g 0 d t H G d 1 S V g J e G Q f P 4 5 T C / f H Y K a G + R y S y W l F e J i b 4 d D q t p D 2 Q Q F n 2 O X t o F i 2 1 K k v p C O Z 3 O c G q n R B O w C N 2 J N V v l 7 D y o e 4 G j O s t r 5 7 N k U T L K 1 n N p 1 n B 9 c C d l J K 1 l G u w y y Z 8 k L r Y i 2 A y Y 5 + b W d z Z T 9 P H Y E P 7 / g j V D B x g R 8 W Q t u a 0 W A B R R w r g a z 7 h w V Y m B L h P Y q x l P G D Q g F z d g 7 a u p v A 8 4 B T 6 P 7 + v p B u + 3 v 7 9 I Q l H P y v 2 9 r b a H R 0 h N L p D D U 3 J 4 S R B F I Q u W 6 y B 1 n / 4 Q / f 0 f D l d w + V J D r g U + h 2 L k h G e G h g A m U l d 6 B P P / 1 M y L u h 4 W G x C r / V O f a j n 0 N 0 t i d H f S 2 y n / W X 7 5 / R c x f G a G 0 v I E z r h w k n Q q E e I I F Q I J Z S + 3 r a v I 0 7 K g Q + 8 k m o f M M F M Z E Q h M K F o A I 5 k Q k 4 K k L 5 k U 5 4 a E H D E w G V v s k h 4 t F R A s 8 R E h 8 J z / Y v T w L 0 3 u V G U Q E w p o O 4 F T r u z E T o q u Y Z g T A A i K m H N a c Q 0 Q j S z G 4 1 D T e s r i x T Z x c 8 r g + G l Z U V 6 u q S / c U v v / i S X n v 9 N b G t Y 5 H r 6 f 3 F O P c 5 8 n S 6 W x p Z Y D I / b N g R i i s p d x e 4 H g s B I c m E P M B l f e 3 u l l 8 r u K 3 B C b y l p s 4 h P p F J k k p k O S o y q b l F w O r y E u v v q 8 a e P R S Z g G r I p G J Y 4 P a + c X D v 8 X v r k F C Q V u j H I R 7 7 b 6 4 0 0 d 7 e H v 3 j P / w v G g g / p f / + j / / C R D M N E j q Z 0 I / 5 c S E s W n i E o c a 4 E P q K f q E C f e L S V b h o O / V L D V 7 b A e 9 c X + T u 5 C n 7 i X s 9 z S T i T v z 6 T F q Q 6 a g W w 3 a q k 3 I G l 4 T 6 B D 6 7 l 0 L 9 K O W B W 2 I J 9 c D z q 4 9 1 n O d O e f 3 1 n 7 x I p 3 Q q x a p Y 2 t Y 0 D g O F 2 4 R B K y A J V B w E x C 7 H t H s 7 f P E k R q 9 r i 1 X r Q L 9 I 9 4 S w 4 h u W S i 9 b p N L 4 + G N 6 8 O A R D Q 0 N c U P Q I B o D k O / 9 u 3 v U 3 t 5 O O 8 y m 3 b V Z 6 j 1 x R b T E a I y x I N o 6 9 6 + e 9 + g J D s C 4 o 0 z 1 m J K / s h u g s U 5 7 6 6 I V y v K r W 0 e h w q K h U F D j T Z j / 9 N q Y v K 6 j k E 4 K Z V L K q M O Q S i K h b s P a x x I K A 9 4 9 b d 6 D o A Y + + t 4 7 o Y K J 8 9 x q 2 s f c s y O P X V m t A e u Q d Y a s X + A 6 b V W B K o D G R v U Z f l 7 C Y C d / L 3 / / 2 R 5 7 0 i l Y r 0 G v 1 E 6 A F / r j m S 3 K R D q N E o n t 9 U V K 7 m 5 S 1 + A Z 8 Z 3 w U L h q z A a u h P 1 k h h o w R d g C + E i 2 e 5 z 0 Z 4 1 7 M T v L J O / t F c 8 F A 9 X p v X V 6 4 3 x j s S 9 2 l G Q C y t + 1 0 X W B y p e D b U A S S / W j B r r 2 j c 9 V h n h n X h P z S E A R B f l R k M Y N B y U T U C s y A R v r p r p 5 j k k E p 8 9 K Z A K 2 L L O G 8 W J 0 z 2 4 d I B s q 4 U 8 s K T M R c x Y u Y q f j V p r b e 6 l 7 6 C x t r c 3 T y s z P w q L m Z W l R R G 0 C m Z 7 a L P T m l U w w x l j H 7 j A E M T 4 + Q b + / y x I 0 H a B I Y / u x k c k N X J u L 6 p 6 C a O g 4 9 5 r 4 t u y K 7 V O 9 9 Z 8 Q J d Y v 0 P H W A Y t c L a + 1 s 8 s + a G Y l F P R B N A P w k r D D x 4 + U 1 Q z / g 3 c j 1 d 4 7 M 1 G + F 7 E r 0 N o 5 Q F 1 D 5 2 h t Y Z K + m 6 r c p 4 J J H B h q T Y l 1 s q A i + 8 W t W 9 / a N l D n z 5 8 T 5 b H 0 f D F 2 x p I 2 B + o o Y X 3 S 4 p m p p D L + g 3 J Z N 0 p 5 4 J Y q N 1 s G w o 2 d J Y S q B + h z g b w A I Z e t V i y 0 p r W U U E 7 f V e m p q S V E d c C 7 W w e c e 7 / 8 a Y 1 e G J L f F s 2 s C t K p P i R m 4 e o z c R H 6 + U 3 u w / 3 H N / t p c f I 2 / c / / / S f j i D 2 2 W K 1 D t C O o Z l g n K x K R / U o s U 6 p j d m a q j G y o F y v L K 3 T 5 0 g X b Z w A P i V i 8 i V L R / m I A z 0 V t 4 e w j h W 0 d 1 s p 4 U + 3 h o z u W o K B u C H x 8 9 6 H d t 5 c h 2 n a u r g w S C O G L q K N + g G u q J X n s 4 H Q O e E v r 8 S W s 2 F h b o 7 Y O 9 + V 0 r N 8 N Q 0 v U R 1 i x p d U t e v 8 v k 9 R z 6 r p Y j F o B 7 l o g r 3 X F E B 1 4 7 3 w B x Q X p E M 9 w e 3 u H H j 5 4 R K 1 t z T Q 6 O k o t N k F D E T Q H U 1 R 0 x 1 + o s w h x / Z m 2 m M J R o / g c + Z 7 w 4 9 S H Q o J 6 O u h x 1 R D P T Y R 8 n i a B d N i V H T b 8 k g l w I 9 O T i X F j i + 8 H D 9 e 4 V 7 W a u 1 f Y n U M 0 Q J k 9 Y Q Z f W l w Q + z v b W 8 W G C X A i k 7 6 6 h X U x b Z 1 M M 9 N T 4 v t 0 I E 4 D F i l A P + W j x z H 6 Y b W H + s + + Q g s T t 8 V 5 L / W l h R U S E V 8 x F I D B W y c o q Q X 8 y 5 8 / 4 L 8 B M d a E M a b L l y 8 L M q l 7 E e Q z s M a t u 9 W L H t r t c Z J J Q b x j s S F 2 B b G M T Q H c D h L I 5 h W B m 3 d / 1 r / D E f m G s 5 R M 1 o 9 D 7 O t D a 7 Z q k g 5 M g 1 f u O j l u e f R W 2 Q 2 4 d i f y Q d X J p r l / w Z W m R R t v A f Q B Y y s q W e 0 2 N z e o t d V 5 C d O N t V U m X a k 1 z w 4 i L D I / F 2 t n H 1 4 Q O D 8 s g z B m b K 4 u U J R V s I a m Z j r T l S n G 4 V C f c 8 L C w o K w 2 O n P B 6 8 a u 1 B J 4 X a V 3 N + n e E O D m N f k N m Z V L x B 1 W E g l O b C r 3 I + E 6 Z x z / k M n B r z V Z 8 9 3 C / 4 o 8 i i y q N w K h + K a Q p E J L 8 8 J u u + b H / c i V A w n o F / R 0 N R U R i b A a v D Q 4 V Z J g U o R Y R M e Q 5 3 h u X z z e E d s R 7 L S 4 o i B b 3 V + x K d A d K L W z j 5 a m f p B l I F M C M w C u F 0 n x p P k J M 3 S D 6 1 u y P N t r K + L H G Q C 6 p 9 M X F F F Z V U V V t 9 H P Z e 7 T v X c D p 6 X s / H x n Q x f H / Y N f U l K 9 f K A 3 R 3 5 Y u 3 g J 1 K R 1 e z r F f E G Z x M w w m a 5 w c 6 R V M f i w p y x 5 Q 6 M F y V a 5 B T u T L h T G C y w Q J o O h O g C u k e f L 2 o a i N m g j B t Y x 0 k H 3 v 2 z t R D 9 3 e / v 0 M j I i F F q Q o W + b m s 3 p 4 7 7 U Z O O D X x f q i Z Z c 7 0 K M 7 V s O W G X P N W y U L T J N 1 M P E y 8 6 h J a K N i b E v C O o p W 5 S p h L 8 k E 9 H c 4 u z y n a u 2 1 u n 1 g l 2 c 6 n s M L 4 U L h s z O u H g 5 R B r a K L d r R X q s H x e B U T B S i B Q H d 9 / E K L b 4 1 u U 6 B o p W x k S O N k v t Q V 4 1 C t U m v 1 c F 1 C S F t W a 6 7 a s 3 o Z k k o W y z v P v v k d X U Z b w l X + a O g a N k + G 8 x s Y x A c F A n I D 5 O 6 h 4 C M G l p l C A X K s r S 2 L b C V 4 C R B 4 U v a x S P e C W X w + X p Q N u L m 5 o a E C U q c q G m J d G 0 8 K 3 L 5 R z l t Y g C V Q / O E S s P v u B O p r K v / e P 9 w P 0 p / c / p p 2 t N d G n a G 7 r p L / + 1 Z A I s w w p a A W u D S G t V f 3 w G 4 3 3 u A B K S f I A n I t N u a / X + f V N K H O V f z z V J F a d j 5 1 I C m 4 h l u 2 u E e R S g 6 0 4 j h U s r N D j H s D C d 1 i 4 w C 3 / + r 6 9 0 c J L H 0 + 5 N O m S Q I e K w w c V L B 9 0 V j E x I I 7 p 7 D C T J 7 p G a W 6 r V M W D Z 0 U 6 v U 9 / + 9 t X 6 W 9 e b K R / f 1 k O H D f F C i L q k Z 3 X B M z o P X 3 9 J f 0 r L F Z d 7 5 D 8 k Z J I J L H L f + U B o 5 z v L + 3 V b G 7 o f m 6 J G y g B c S I L 7 M o O E 2 5 n m 5 2 e M r b s g Z e t V r B I 7 u 8 J t R C O s T r W t d g K h 4 G u J n v 1 y w + R n S y J e h y + S N Z 5 Y p w a E I c B Y n t p k l 6 z V H z 4 / v 3 u a o w + / X b C K K m M t d U 1 8 T w x s R B 1 Y m 0 b z q X y H H U N v s i S O m X U Z 5 S q q i 2 3 e U f j h F P y J K G U h a 8 e 4 K T y w R Q 8 N D J q 7 F U G Q k V B L X y w Y k 7 f w D 0 e V F V B Z 3 x z Y 5 0 m J x 4 7 P j N 9 d X i F X Y s 3 g h u c T P o 6 c o a E q v T W X j p X e r 9 Y y O B P P 4 b o f / z T 9 / R v b 1 w w S i t j e G R E P E 8 Y V 3 B 9 4 + u N 9 O 1 k X g w X 1 D M E n f g 9 i X c l r h V / Z B n y k u M e 4 K k P Z W 0 8 j 5 N c o w 5 T J a D C Y N l K r 1 D z o O B P h h X 0 A F S E a i 1 8 I B A A g 0 Z r W z u N n Z K e 3 n a A q g W r H Z 6 j s o b B J F 1 L 5 I L S a o i x I C f M r W d o Y H B Y b K N f 9 X / v p O n v / 8 9 N S q f 2 6 D / / 7 q o o B 3 C N y 4 s L Z a G q 4 c q l o P q A S 1 t E n z 9 M s t p p X k P 9 Q q / H k j y o 2 i L J I r E j M z j J V v 7 x J K F w g n q B k 0 M l d H g 9 q I k f t M b t 1 T A / 6 D M C + 3 t F b 9 + A I J y y K M Z 9 u B A B e k g z V H i o W j A M i L l H 6 V l q T D 0 T x 7 C Y t h O m H n 5 H P d 0 d g k w L k 9 / z 9 Q T p 0 u U X 6 H f X S q 8 F 1 9 j d 2 y c M I z q w e v 4 8 9 0 m F 9 w f z 6 e v x F A V C Q S p E I P U 8 V a 1 j h a j X I A w 2 j G 1 j Q 5 b j x y j 3 L K G Y V C U 6 o G 1 i 4 A v 1 L / V 6 g l r j R 8 s Y i Y K f p T 3 1 a 8 e s U Q T w B 2 D N Q u x y t / E s J z Q 0 H m w a f d C j F 4 c C Y m f s 7 U o 1 E R U e q h a M F p j I l 4 4 N U i o q l 6 h x m x j 4 0 / S + k E p P v v s j 9 Y 5 e o X 9 3 J U w v n W 0 2 j n p D P / d J e 5 h s w U C B x v o a 6 e 5 s l F I 1 j P B 6 q E C d V p v i R 9 V z 7 I s d e U S U 8 b a V F z b J t 4 Q 6 L i L p s A t i W W n a u 4 7 p Z 0 + N L X 4 G / F U d T f K e 0 N l H 7 H I s j A Z A C s z P z d D i / H y J e n M Y a K z g R m W H R l Z b 7 d 4 H w j p D B e t u Z s m 1 v 8 v E 2 x H D B 9 t b W 7 R i e H P g 3 3 7 9 3 m + Y m I 3 0 6 3 d / Q 7 8 5 n x a z U / 2 O w Y n K x v m d m b B Y y f 6 X B H H l u H 4 8 D J W M I 6 I c W 0 a Z 1 3 o f + P T + e M V P p s O n S A V m g X o h H q L L i b y e v F r E u D G / c b J 2 f Y 6 p j Z C Y 6 m A F C G U X R Q l + X p B i M M H D E H J Q 6 a S Q T q e 4 Y + 9 d 9 a t 2 B f v D A K I V P T u S s M k 1 A t d R 1 G U Z n K X c j 0 / 4 8 q n t H G s w h R x d 9 C C 9 h V W z U q o 3 v D Z m T 6 Z q R + f t y A Q 4 h S Q L B l m S t b T S m f M X y 8 i E x q R a a b a 7 4 9 3 S h / P U A 5 n U Y D N W P v k l A Z d r S i j s Y F s c U g f F c S k c Z L L j h j V 5 7 k P V E 5 w W 7 q o U m 1 w H p m I f B m B o Q G e 9 G u i + c J W A u O y H B b c Y 7 q h Y U K 9 R 0 X a 4 A V O D z V j z 6 h c F Q S B B G e y Y P 6 o M O Q 6 p M m z r n H B I 9 W + K s Q H W C n I C B m z d s G m s u l G P A 4 4 g I w Z H I e F g p s Y E Q l R a m N j h y Q 1 p g K D + m I q S q N B 4 W O d G + Y G K A I X z Q 6 1 F h c I 2 V F L U m v a O T t p K h o Q B 5 O t H O y K W / C 8 J i j Q G X 8 S + 2 B G 5 T O I o c p E h x w c q g w m l 0 c s x 1 R c w 2 9 M J c Y t p 1 4 p m Y 1 a p W F L G B d C p q w U e P v 4 f 4 z b o a 6 E y w s 9 N q U d u w H I o k H A w U 2 M C I Y g D E z u k F 6 S B i J 3 n 5 d 0 6 V A B J C n c o w w T O D 2 9 + M T 4 X j Y g J j r g X 4 M 4 s I t 5 G 6 O U z C f r q S f X P 6 q g h y W M Q x J K L h B / L N v + R y Z Y b p c l T H w q W s H r C Z 8 Z a u k 7 A m I w T v F q x F h f m j S 3 / 2 N r c E O f B u A 0 s h q i Y 6 H M p 9 c g N m B W L M F x u q O T s C w Q c 7 l N U E A f Y k Q 0 E x v 9 g j K q p S d 4 L 3 L V y B V k p Y E 3 s a D i Y J / 1 R Q z w B w R F s g T b m X 0 k c I z e S L P n / u A + l r y B u h 0 p z i 7 y g p 1 e O 4 1 Q D J w 8 J r 8 h W i D b U w x K r k r R z 6 m N B q t g h 4 2 J h t N 4 P 1 E 6 M 3 y F e B B q O 1 b T 7 M q l 1 B 0 E S g y Y 6 c U R m 5 M Y x l Y t C n R M O 6 R f Z h / I C 9 D 2 s k C 2 S P T D l Q V 8 Y G p a 8 a n F Q M 3 o l t R W o J O 3 0 S K 0 6 0 L d C H 6 w M D o 2 A 3 b w y q K P A / R l p L n d 5 r H U G S Q z 8 i B z X L X K 5 L Q l k 5 N g w P o f k V n d 0 e O p D 4 V m j l V I J O G g r f F B M G a u o O 8 G u 0 6 5 U m t n p Z y V 9 p F k m 0 x w n f W H o g 9 2 f t 4 f v B E w 5 8 W J U k H 0 0 + 6 E C j F F Z A b c k O L B a Y 2 u g X 6 R C h u l Y m J 8 V n 3 d C U 0 O Y h t o q 9 w v r B Y I b R T I Z u f E j 3 5 k s U 7 k k l n 5 c 8 s E t / S L 7 U M C A Z V q 3 H V a W F o 0 t o n v z k W J F G h w e L f a l 1 n a J N r e 2 6 N q Q v + h G b g A h D g o v 0 z n Q R 9 M j H + l I J E r V M E g l J 6 n l 9 B 1 9 / X K q i x M Q G g 3 P 9 Z e B U p J g X / x g W y u 3 S / x H 5 G W 8 s E m e + l D W / u 1 x S y d A V 8 + c 0 N U j + 0 H o b 5 z p 2 L V V k z p Y O 7 s 4 0 k Q R 4 x g k F 4 K t I O R X t T i I u q j g Z F S w A u / b i h W L 0 Q L 3 V O m a p K Q z v 8 z L / d 8 4 l R L L 5 / w S I H i B + w M 5 D C J J s q B I b Z v l 1 j I B C y / s k i + V r 5 4 A Q l l D Z d l h Z u q p U G n i M W f V R Q c k F 3 z f r L 5 1 C M 8 F F e i o 4 F X K Q S W z G i i U 0 6 y K 7 o p 7 q v T + 4 B S M u O R K F a 7 k W 4 j n k c t m 6 C W H + B 7 1 B J 0 Y c t u u z M x F s p B P l p m c c E q e m h e 3 x v K 4 i f b h Y 3 d S D Y 2 c 4 L 9 4 G N 7 R a e P p g P B c d i o Q K j O C V m L h N v H g a w Q / 3 w X J i 1 j k A A a 2 u 3 u k 0 c C u X 2 Q H W O 1 w b 1 A h l S q s g O t A W p y X 8 7 c U 8 D x g M c R q G n X W 1 t o C x O A b k N v I x a 4 k j D z K P 8 a + y L X E f 8 R n v M A T o d B Y g j j 1 J q U A 3 K t a b 8 g J X i u W g n X e j x t Q m R P w U G 9 q K n s + e B l w t s S 4 1 P z s j M g h A c R L q g A v n 9 G B i g C j S 4 6 / v 0 E L r V Y J M G z A K q k c f n G d i p y A e u + 9 / X L + l h W I N V H / f D L I g S 3 k Y l v + 8 E 6 x r P i 5 k s T v i 3 + 8 e t Z g Y J 4 f l H u i 5 K L M G f V I K n S O F 7 e d V S S n G A x O q O Y e 5 2 a n x Q t A X w S h z B C A E + R B X 6 i l t Y 3 6 B 4 d E 7 k X 9 A v x e A x o N j C N h 8 H V 9 U 0 7 Z w P m R z 8 1 M 0 e r q s h i Q B V l A H E U a N B 4 I s o k + F q Q O r l O F X P a C u a 1 Q H U 9 z N 4 n B f 2 y 3 y x M a P F Z 7 R a 4 + m 6 f m Z i m J K y V v f S i m J z 5 c z 3 C z N q V t T M i 1 B j w K Q A I 4 6 C K U G V x 2 0 A 9 C G f z y / G J 5 c V H 0 h W A + x 5 j a y v I i r a 1 I o k L N x N K n z y Y n x F w t A J 8 B g X B s J d V E j U w s k B f 5 w N A I d X Z 2 C x 8 9 k A X e G 1 b S r K + t l a l 7 X m A N i l l P A B / E H 0 E K j U j 8 Y y 2 3 3 z Z J 1 Y 8 V t m 2 4 Y U 2 e n m A + s y 8 I 5 b X V 9 N u 6 1 g q Z v H l e P c h + r e Y r u c F N T Q z 7 V D m B r p 4 e M Y E Q p M S Y W l d 3 L 3 V 0 S a J C z U Q / b 3 Q M 8 9 R k Y 4 H P g B A 4 d o a 7 g G m W 2 l 6 A C r O 3 t 0 v t F V b + c A L m p t U n m A i C O i C H s Y U N I 3 d N l s / w H 2 p s 9 G j U M v K K 0 A l l z e s F + 6 z e i A f A U J e 2 u e E v L F i 1 X t p u z 6 I p 4 Z / Q U N W 8 Y H h 0 r M y b 4 c l q m C I u S + c o b G 1 u i u t u N B q c n a 0 t 4 c O 4 v i a j 7 7 o B w V 9 g Z U 3 V 6 b i u q A a C C 5 I g x W 0 c M P L S b S m N b B P / e K 3 q n v p Q S K o b U q 9 k A p b 3 o j Q z M 0 u f f / Y F P X r 4 g P s N q 9 w / 8 O f X h x B g t Q a / E 0 / 4 / E m s + N l N r u x e k b b M X 0 I H O l s h r g M c c D G g i w A r z y b l U j 6 J l h b q 7 e t n a S W j 7 + p Q 5 n Q A y 4 v + I l b V k C w q k k a U G N t i X 9 s u 3 1 f q H v p T k l B e k q c + F B K e r x O J 6 o V c 0 9 v N N D w 8 R G / c e J 0 u X r w g H g i W n f G D a s O I u c H W d 8 4 G r Q 1 5 8 V K A S M S b L g U n W B A B 9 4 r x N v S l G j N z t D z / T J A F 7 k Y 6 G R R g i I D n B A K s e F n Z A + o k v N y h S t 6 Z 9 a / C H i V 0 Q p i p 1 M i g + k f W c l H G z 0 s / h o W r d S 6 4 J c / N j C J U P U o m h a y l 3 n R w v w C V a X p 6 2 i i p D F i 6 j g u X + 0 1 z t Z j 3 5 A G w 6 g F 4 L 5 A 4 6 E t 1 9 3 Q L Q w T I A t J U M j b A Y I E A L p X w Y G u Y P m U p W t / B K y U 5 Z A Z S y I Q y S R C D L E J a l R K n f F v u R 6 1 r s 7 r A M 6 G C W c z x k Y T y Q q p 6 I N 7 n k 3 F q b W 2 l v r 4 + + u T m p + I B V Y L T 9 I a D A H 0 U n D u b 9 T 5 v K O g h 1 r n T 6 o p 2 E q k S M P H S K k n x t B a 0 4 Q h E l a 1 v g A D i r 3 z X 4 n 1 L U p g E k e V O + + a 2 l G L Y H x r 2 H p r A c x + K s l t M K P l P Q L 1 K K r 3 1 T O e C 9 P H j O K U L U X r r 7 T f p 9 p 3 v X S c f H i b w v H S y Y g Y v o N y E r M h 6 U B P 1 t b F 0 u M U V d D s G 5 2 G d p H j D f c 3 S O O E W g b Y e I E m g c k 4 G q Z B w Q M / F j 7 V M k E 4 S T x F J f a a n u 7 m E C 2 6 J K c J / P S Y Q y i q h 6 o 1 Y a g U K B U T j g X s M i H b 9 2 l X a 2 9 u n e W P s 5 j i h Y q j D N G 6 V X L C w i R f r g u 3 t b c d n b z d 1 Q w F j i m 6 A y o s x L x 2 T q + G 6 N 0 L I u 5 I E 0 c l Q T B q J S l O 5 i i d y 0 Y + C p E e / F v e O M 1 R O v p 6 S I p R C P R L L K Z r R R 4 b P H / p V n Z 2 d d J N V w C 3 u N + D h K e j b f q C c U K u F V c 2 E h Q 3 j W l N P n x g l N h A v 2 w n O 9 6 F M 5 G 7 A m J f C r a k Y T b g s I V Q v w B 2 b p J C k Q h L 7 G p l U W a k U c i A V J / 4 j T + A R v g g V D q Z F B x f k 8 U K g w y a Z V / 8 q Q L 8 U e G i / z S o g f N 5 m Z 2 f p 4 4 8 / E Y Y L W M T w E H / / T 3 + g P / 7 x f S H J Q L q 5 m W n X c R m v i 2 H 7 B d y W E L I L 0 0 m 2 N j a K 6 i p y e I c 7 w W 3 x a 8 B L H w v 9 K Y x n b S Y P 9 x 3 W A i Y R d D J o J I F 6 U j y O f Z v P Y B v l K v E + b 1 B z c + U Z D T o C X z 2 e 8 k X B r c w w t 8 h Z U c H w Y t Q F A S r X Y V d 2 2 H h p J E 2 t 8 b x o W a G u K K g 1 Z O 2 A 6 w R 5 5 u e l m 9 D 5 8 + d E j v G a b 7 6 5 R W + 8 8 X q x g c C 9 w x E V F j T c H v z 3 D r o M j h 0 y G c y k t X f 8 h Z r o Z E D B v b g 1 Z n B P s p s b Z o W X 6 T H H C 9 Q 9 Z C Y p Z C R Y j S B c L u u p j A y L M r E v c j N K b D 6 H / a x w Z k a k W G w j o u y N N 8 4 K Y 5 x X w G 7 n 6 0 f v R 6 m X Z s 2 P G 7 e m o s K E f s p l + V A r c O 1 h V r V A J E U m A O M 1 N 2 6 8 Q X / 6 0 5 + N E l M l g 2 4 N i X 0 Y Z A L C Y W d D g J s 1 0 m m F Q w U 4 y 1 Z C T n P j q l c U y W S j 0 o m k y k U u y W U m p 3 1 J P m w z o y g E j c z H j y + V D 9 A J B d Q L i a y 4 a a z 5 9 P J o m o a N U M t f M 9 H c A A O B E 9 5 7 7 x 2 a m P C + o l 8 t s L D g 7 F Q L N d A J l W b 7 q p n M b r g 9 U / v h g 8 M A U 8 A g g p n 4 j 7 Y v V b f y c n l M J C H R t H 0 j 4 d v 9 w j e h I s G s L z I d J + F g 4 W u J 5 U W 4 K 2 A n 5 X 6 7 b t c K D 4 q B g X 4 a H 5 d u O k e B e J t 9 T A e Y t t 1 W h b f O 4 L W i U p g 1 q L R 2 q 7 3 X E 0 q J w Y l A A r U P E m n H y p L + W b X P C c Q q p j w 1 N v h v V D z F l N B T l B a E T o n K p 1 f A 4 y S O F T H D M R R j U M C N k 3 K a 9 u X + g 1 n j o O b B S u j V l e g g g I T d 3 A / S 1 5 P l z z U Y c p 9 T p e v 8 q D C Y v o I p J F i a B 2 R E Z V F Q l Q o u S 2 I a P B + H S s u n q F / w 9 S K 5 E 8 c g C L Y N g h S J U z x u J L X N u e i D c e I C e v m V s 2 X 1 v 1 L y 3 Y f C D 9 6 X e q F e i O X 2 8 g 8 D m H A I 9 M X M N a P i k Q L 9 M B c V Y 1 J O c P I 8 0 N H e 3 k 4 b G 9 4 d V / 0 C K 7 g D b 5 9 O i r B m z / e X X x M m E q J j L T r Z X D m s Q P 8 K f U h 8 B s 8 + G o u L W H r 9 A 0 N i n C m k G S T U + 4 P L E t b G U q 5 X b 9 Z w u a D a g s l g q H n 8 x 8 g l s Z B L s q h k k E W V K 4 I V P 6 e X 8 7 Z G M J x H 1 X c / P 1 W 1 Q 3 a G i X o D l g c N N 5 j G g n x S L h K A c a q F L X v f L C / 3 g s / c v f u D s W c i h z U x a 4 C W e O n 3 I F 6 F F b g G G E M w y 1 Z d M y q G w u b m F n 0 6 E W c l K C Q s n Y i 7 A Y u d d f 0 m r k f 0 c N F e r a k / C a X I Y C T r f j E p s p i E K z k m S M P b a J B U W f F / 1 D Y 3 R P z 9 1 S D w z f h M F f 8 Z o P V k P 2 V Z 1 9 b N 5 4 C 6 e C v s y g 4 b u p k 8 X w j Q R 4 + l d E I V f G U 0 T Q n u X 1 U D x G G 4 d + 9 H e v n l l 8 Q + x q t Q s f E s F h Y W 6 b n n L h 7 Z 2 k 2 3 Z 6 K 0 t h e k j s I 0 b V M 7 Z Q L S W d Y N e C 6 Q 4 i o W B z S O d 8 6 U S 6 R l 7 n v e Z a l + 7 E C d K m 6 q y s / J q H f F M k E S 3 l b l 2 r 5 u M l f b O W U m F 2 Z z 5 L z P / c 9 C I U f v v H 1 J q L 5 + 4 b s P J R P G O e R Y h 5 4 U 9 G 0 F u 7 L D h q 7 e Y Q 3 Y c N A g P a e v n k V L 3 G n w g D H h z g v Q l 7 p + / R p 9 8 M F H t L 6 + T j 8 / f C w c c A c H B 0 X 5 n d t 3 y y b 9 + U H W M o a 8 k z K f 3 b r F B e j a U F o Q 5 O q 5 b g p F v U 1 k h L T S A 9 t A U m E l / C 3 t P E B 3 o j Z S t 1 Y o I V M x q T K Z 8 x 9 t X 0 + l n z f H q z j x u x f l h u r H G 6 w W M 5 n w O H y m w K 2 J W U V + X 9 h M 9 1 M m k x d S S l y g u C h 5 g Y D K d d i V H Q U Q 2 B 5 8 R s V R L k i A 2 0 C v J / D 9 7 H C / K 2 F j b o d 3 O x x y q 8 G j 5 Y h Y w A z X a w W k C c o v 9 2 W o t 8 V k 3 t x m i H 5 y U N + 8 A n X i X Z t n c t w D v L J e m f W r u G 8 Q Q O w X S Q G p Z O 7 L e s k 5 J J A 4 D m k k p V S J Z E J u D O i G u f F 9 9 7 2 r x t n 9 o W p N u S U K B 0 p z R N 4 p r w e o 2 H 2 o j K e 7 T E d U V B S o N Q p Y 2 M w P d n Z 2 b M k E v P T y i 9 y X k f 0 2 P 3 i 8 H K Y p 7 u v Y k Q l Q 5 f c W I r S 4 H R Q N x I d 8 H y B T J O T w T x 5 x s P 8 + D C j y m I n / c I I U w T 7 I o u c q S R I V k 2 r s k R d J q M q 1 n B P v 0 I 0 3 n z P O 7 x 9 V E y o A L 1 x B K J D H K K t A o u M k m W p l T 3 S U 6 l N 6 S O e 8 U y 2 2 A e K m J 5 q b j b 1 y I P L q h x 9 + b O y 5 I 8 P 9 m b 1 M Q F z j s w q L I O i 4 N x 8 V B F N X b b c 6 v h / o i y X o G G k / / G E C K 3 S C 8 J 9 i s p a b + y C E v m 9 N 8 r g y i y t i i T 6 V k U t C F S g a r V 7 S Y 0 B D M q K K F A 5 z z h f A P S j e 5 e 0 6 h x 1 f M I A p y V Y Q X u O Y N u 4 F L W 3 u D q j A u + + + Q w 8 e P D T 2 7 P F w K U K f c H / m S 5 d l T o 8 K U x t h W t 0 t 7 4 i f 6 X I m l J d g M L 7 B d Q r v A w T A d i l Z 9 G 0 c t x 5 T i f c 1 y a M n N J w y N 8 q 0 v K k p a l v X v a a q J R T Q G o f 7 i / l A Q S q V 1 L 4 V x 0 m 8 H Y f A 9 o j l k M k F a W R 0 z H b B 6 Z m p Z 8 a W C S / R a F P J P d r Y W O d k r / o l W S r V 0 2 L P X J / K G h 0 0 N n h l a r A c O N t t E g z S t d b A m c A V b E g S 6 I Q x t o t k 4 Q + J b f U Z H E N u l P G 2 7 F M h c Z k i k z i O / d L 8 j R t X x D V U C 3 Q r R G f 0 I A k X c p x E 8 Y p E l G s M w 2 o i T n H F D h k W Q B m M x P S T Q x S k o Z F R W l t d p Z 1 t u R Y T o s Q i O q w b 8 J m e 3 n 5 6 8 c X r 9 O 2 t 7 4 z S U r g t v n 1 c u D t X q u 4 o w 0 1 c I 9 Q j 7 u c d F h Q p + I + o V 0 W S l C S 7 c p B C H Z N J J 4 3 c V p / T k t r n X H R h + B o O k q o 0 m 5 u p p x V x 7 / h C + a L s p J M d 0 Y 6 L f D A N A 6 I V 0 Y B Y C e o Y 0 N n V L Q g B q E W u O z o 7 R Z 8 J a s L A 4 J D 4 D A J E O g F e C Q C / Q 7 r 0 3 K U y / z r l E V G P s P M m q e R 9 H q r B K y 1 W + G L C v k p q n / M S C V R K F q n O o V w l H M P / 4 B g s e v L z I t f K Y P 3 7 q 3 / z Y r F e V 5 v 4 r d q U + k x y V F n e F H B c h K k E X N 4 D B 9 M y j k G 9 U e s d Z d I Z M Q 3 C u q 6 S j C A k 7 8 9 p 9 i v C G q t n g M m M + V x a j F f p S B 5 9 P 9 8 z 4 E 1 i j R W / Y z M T W m + Y 4 I i s 4 k / 4 h S S D m f A y S s t M w k g y G Q l E K N k 2 E o h i b O s m 9 O L n L J / F Q G 6 A t + V A L m 6 q + l S T Z r I x J m + K r 4 7 3 O D d Q j 1 J q d j N E W / s B O u k w V 2 p i V V Y k q 8 + b H R w X h r b E 1 I O 0 C o W C Y h Y w J j E C P X U 2 a G o F Y s U r y 6 g T 3 j p V u j a U i p A 0 3 O 6 N W I o M q D O q g v O f Y r l M K N d z u 2 1 9 3 0 g 6 a T h J K W T s i 2 1 I J u k x w R s 0 N O T s v e 8 H g e 8 m 5 0 0 G H A C z q w l u D b D F W i S 3 4 v r N A S r X Y V d 2 V I A H O j r a d p X m 6 m C a O p v y t L K 8 Z G u k U J i c e E x j p 8 4 Y e 6 W A x d B q u I C K i N n O k 0 8 m B W E f b A 9 R o q W 6 m O J H C T W Y r C P B j e h z / R n 6 6 m l 1 r k n y 3 X M S v 0 Y 9 4 Y R c J l R + y 7 6 Q T q p c E q N E A m H f 2 F Z q n F T r k D B w K 0 k k t z G Y K 2 f l F v J Z + u 1 v X 5 M X d k D U T J G P h P m r t B t V q E c p B S j X m z G b s R d E R o U K g 3 6 S W w Q h Q S a + Z 0 y L Q N w J H V A V 4 f O n A z H b E C f w h a s v 0 J k z p 3 8 R Z A K s Z A L g D g U y q a k x / m B 8 o U a m M v J Y 9 8 v I p B 0 r + b x G K v 0 4 i C N y Y 1 v k c r s h X j s j y 4 H G o f T U 0 7 b N G i S e E F + k k Y 6 T M F 6 w u h u k P s 1 9 R w f m U u H 6 K z q 5 8 m d a 2 z p o Y G h Y t I D T z 5 6 K Y j V N X g E L m U W i k s S 7 a a K P x o 8 v Q m 0 t U W m x O z t w P R d / B A G K x N A q v 7 4 v K r 0 6 p s p k L q U Q y m W u p J F 5 T E k o P T e 3 F c n e + 6 t X y u p z t a l m E g q I R p S q h 5 u S O V C v U g q S y G 1 + l D p m 1 1 e C V F J Q 6 9 F i Y b f h 0 R N C t V O x 9 v A c 1 l a X x U J m y n t 5 L 1 3 a 4 f / X g t K 6 o b Z l 4 t q t l R v H S q R Q g a b v f 2 a U m f 8 n j n N Z 0 U Q u 9 j k X p D G 3 i w m f E W S S 2 0 0 e l 6 n x i p o S q q d 9 l 9 U a / S Y g s Q z x 7 o J 6 l W S w d u E W 7 B Z w b m 2 z D 8 + L F w r r 3 / a W H L P C v X V 0 d o t t h R W W j P / a g O e C u i A q v F 7 5 k U T F V 9 t m 3 V G f P d m R E f n g h d d E X v w f 4 / O C T P g f I z f J Z R 5 D r k s r W P a I 0 7 u / e d m 4 w t r A c y h m r 6 m r D X 0 S + S D M V O 5 E + 0 s B n E 8 R 3 Q g D u V i Y G l i Y n 7 M 1 m W P g F / c K S P M 6 F o R e L w v E b 5 1 E W G + A E a K r K S 8 W L 8 D A r k o 9 C V M 9 b o l X b i j 5 Y Y j n g T T W y a Q w + k t 6 e U k S F V 3 t 5 + l K f 5 L e P L l P 8 1 v c m R A E U s d N o m A 7 G p S q m y S K L B f b R p K f N V Q 8 U S b z S 8 + d F H W 2 p u n 2 s 0 U P T 8 Y f J u f C f G O 8 g R C 2 f B Z U S E k k J A k 8 G C v s y u o B T Y E t u j a c p + m p p 3 T 6 7 H k a f / S Q T p 0 5 Z 9 y T P R C z H M t u Y h z K i u 1 k g L 6 e 8 t / 3 O G x c 6 M 3 S Y K v 3 A b J 8 P k C 3 p q O 0 b Z l H J R t U Y 5 M h 3 i s n 8 W N s n + n K 8 L k g e a R r 0 P f T Y b o y g E W 3 C / T J e F S U t 8 W z t L b H Z O J t Q Q T k R e K g j K U N 5 / 2 J N M 1 u B L n c k D 5 G r u 8 j D o i a q o F 9 4 v x v / s P b x h X W D o d C q F Q 6 S L N L e K y g L M i k E v b l w 8 c D s Y N T + X F D n z s F c z p W G M S S M S p g J P p Z k F r w i F B r T O F e 7 E i H h Z 7 r a W 3 a F w b S 1 J W A P y P R J x P S C P P K S I q i f G v 7 m Y C Y E T z W m a X d V L A 4 y x m v y a k 9 W d k N M D H Q V w z Q 4 + W Q f K e c 2 h p y 1 N W Y o 4 7 4 H m X S S T H 1 R R D D S J 8 / i V I 2 V x C k k p J G H V N S x i g 3 t o V h A c c N 8 k R Y U i X T s t w k l k w g V E E j 1 L l z w 3 T x 0 k n j i m s F o v 8 H 9 P I R P U x i B a 4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 G u i d = " 8 0 e e 4 4 8 f - 6 4 e a - 4 e 8 4 - b 0 b f - 5 b 5 7 2 5 2 c a d 5 a "   R e v = " 1 "   R e v G u i d = " 1 b 4 0 c a 9 9 - 0 9 8 0 - 4 e 5 9 - 8 c f 0 - a 6 6 0 e 8 4 f 6 7 0 7 " 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F3F07DF4-4AB4-459C-87AE-25FEEC32F8FB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9DCF1AD-BADE-41AE-A9C9-FB9CEB393D3D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Patterson</dc:creator>
  <cp:lastModifiedBy>William Patterson</cp:lastModifiedBy>
  <dcterms:created xsi:type="dcterms:W3CDTF">2019-03-14T15:58:39Z</dcterms:created>
  <dcterms:modified xsi:type="dcterms:W3CDTF">2019-04-14T20:57:34Z</dcterms:modified>
</cp:coreProperties>
</file>