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CPGE\Documents\Intercomputer 2018F12\Christian Ministry\Societal Service\City Motorpool\"/>
    </mc:Choice>
  </mc:AlternateContent>
  <xr:revisionPtr revIDLastSave="0" documentId="13_ncr:1_{AD024363-6EFA-4E8E-8EF6-9E3A8C3C7DBB}" xr6:coauthVersionLast="45" xr6:coauthVersionMax="45" xr10:uidLastSave="{00000000-0000-0000-0000-000000000000}"/>
  <bookViews>
    <workbookView xWindow="-120" yWindow="-120" windowWidth="29040" windowHeight="15840" xr2:uid="{D0D74FD8-B47E-4451-8653-B914884898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1" l="1"/>
  <c r="F54" i="1"/>
  <c r="G54" i="1"/>
  <c r="H54" i="1" s="1"/>
  <c r="J52" i="1"/>
  <c r="G52" i="1"/>
  <c r="C54" i="1" l="1"/>
  <c r="D52" i="1"/>
  <c r="E52" i="1" s="1"/>
  <c r="F52" i="1" s="1"/>
  <c r="H52" i="1" s="1"/>
  <c r="O53" i="1" l="1"/>
  <c r="S27" i="1"/>
  <c r="S26" i="1"/>
  <c r="S25" i="1"/>
  <c r="S24" i="1"/>
  <c r="S23" i="1"/>
  <c r="S22" i="1"/>
  <c r="S21" i="1"/>
  <c r="S20" i="1"/>
  <c r="S19" i="1"/>
  <c r="S18" i="1"/>
  <c r="S17" i="1"/>
  <c r="O33" i="1" l="1"/>
  <c r="R27" i="1"/>
  <c r="V27" i="1" s="1"/>
  <c r="R26" i="1"/>
  <c r="V26" i="1" s="1"/>
  <c r="R25" i="1"/>
  <c r="R24" i="1"/>
  <c r="R23" i="1"/>
  <c r="R22" i="1"/>
  <c r="V22" i="1" s="1"/>
  <c r="R21" i="1"/>
  <c r="V21" i="1" s="1"/>
  <c r="R20" i="1"/>
  <c r="V20" i="1" s="1"/>
  <c r="R19" i="1"/>
  <c r="V19" i="1" s="1"/>
  <c r="R18" i="1"/>
  <c r="V18" i="1" s="1"/>
  <c r="R17" i="1"/>
  <c r="V17" i="1" s="1"/>
  <c r="V25" i="1"/>
  <c r="V24" i="1"/>
  <c r="V23" i="1"/>
  <c r="U27" i="1"/>
  <c r="U26" i="1"/>
  <c r="U25" i="1"/>
  <c r="U24" i="1"/>
  <c r="U23" i="1"/>
  <c r="U22" i="1"/>
  <c r="U21" i="1"/>
  <c r="U20" i="1"/>
  <c r="U19" i="1"/>
  <c r="U18" i="1"/>
  <c r="U17" i="1"/>
  <c r="T27" i="1"/>
  <c r="T26" i="1"/>
  <c r="T25" i="1"/>
  <c r="T24" i="1"/>
  <c r="T23" i="1"/>
  <c r="T22" i="1"/>
  <c r="T21" i="1"/>
  <c r="T20" i="1"/>
  <c r="T19" i="1"/>
  <c r="T18" i="1"/>
  <c r="T17" i="1"/>
  <c r="O31" i="1"/>
  <c r="P31" i="1"/>
  <c r="Q31" i="1"/>
  <c r="F24" i="1"/>
  <c r="C24" i="1"/>
  <c r="R31" i="1"/>
  <c r="U29" i="1" l="1"/>
  <c r="Q29" i="1" s="1"/>
  <c r="Q33" i="1" s="1"/>
  <c r="T29" i="1"/>
  <c r="P29" i="1" s="1"/>
  <c r="P33" i="1" s="1"/>
  <c r="V29" i="1"/>
  <c r="C34" i="1"/>
  <c r="F43" i="1"/>
  <c r="F45" i="1"/>
  <c r="C45" i="1"/>
  <c r="C43" i="1"/>
  <c r="O43" i="1"/>
  <c r="R29" i="1" l="1"/>
  <c r="R33" i="1" s="1"/>
  <c r="O37" i="1"/>
  <c r="O41" i="1"/>
  <c r="J28" i="1"/>
  <c r="O38" i="1"/>
  <c r="I28" i="1"/>
  <c r="F28" i="1"/>
  <c r="C28" i="1"/>
  <c r="O44" i="1"/>
  <c r="F44" i="1"/>
  <c r="N31" i="1"/>
  <c r="N29" i="1"/>
  <c r="O26" i="1" l="1"/>
  <c r="N33" i="1"/>
  <c r="O20" i="1"/>
  <c r="O27" i="1"/>
  <c r="O19" i="1"/>
  <c r="O21" i="1"/>
  <c r="O22" i="1"/>
  <c r="O23" i="1"/>
  <c r="O24" i="1"/>
  <c r="O25" i="1"/>
  <c r="O17" i="1"/>
  <c r="O18" i="1"/>
  <c r="R10" i="1"/>
  <c r="R7" i="1"/>
  <c r="R9" i="1"/>
  <c r="R6" i="1"/>
  <c r="Q10" i="1"/>
  <c r="P10" i="1"/>
  <c r="O10" i="1"/>
  <c r="N10" i="1"/>
  <c r="M10" i="1"/>
  <c r="L10" i="1"/>
  <c r="K10" i="1"/>
  <c r="J10" i="1"/>
  <c r="I10" i="1"/>
  <c r="H10" i="1"/>
  <c r="G10" i="1"/>
  <c r="F10" i="1"/>
  <c r="Q7" i="1"/>
  <c r="P7" i="1"/>
  <c r="O7" i="1"/>
  <c r="N7" i="1"/>
  <c r="M7" i="1"/>
  <c r="L7" i="1"/>
  <c r="K7" i="1"/>
  <c r="J7" i="1"/>
  <c r="I7" i="1"/>
  <c r="H7" i="1"/>
  <c r="G7" i="1"/>
  <c r="F7" i="1"/>
  <c r="J32" i="1"/>
  <c r="I32" i="1"/>
  <c r="H32" i="1"/>
  <c r="G32" i="1"/>
  <c r="G28" i="1"/>
  <c r="E46" i="1"/>
  <c r="D46" i="1"/>
  <c r="C44" i="1"/>
  <c r="D44" i="1" s="1"/>
  <c r="E44" i="1" s="1"/>
  <c r="F36" i="1"/>
  <c r="C36" i="1"/>
  <c r="F37" i="1"/>
  <c r="F38" i="1" s="1"/>
  <c r="C38" i="1"/>
  <c r="F35" i="1"/>
  <c r="F9" i="1" s="1"/>
  <c r="Q6" i="1"/>
  <c r="P6" i="1"/>
  <c r="O6" i="1"/>
  <c r="N6" i="1"/>
  <c r="M6" i="1"/>
  <c r="L6" i="1"/>
  <c r="K6" i="1"/>
  <c r="J6" i="1"/>
  <c r="I6" i="1"/>
  <c r="H6" i="1"/>
  <c r="G6" i="1"/>
  <c r="F6" i="1"/>
  <c r="Q4" i="1"/>
  <c r="P4" i="1"/>
  <c r="O4" i="1"/>
  <c r="N4" i="1"/>
  <c r="M4" i="1"/>
  <c r="L4" i="1"/>
  <c r="K4" i="1"/>
  <c r="J4" i="1"/>
  <c r="I4" i="1"/>
  <c r="H4" i="1"/>
  <c r="G4" i="1"/>
  <c r="R4" i="1" s="1"/>
  <c r="F4" i="1"/>
  <c r="F3" i="1"/>
  <c r="F32" i="1"/>
  <c r="H20" i="1"/>
  <c r="F20" i="1"/>
  <c r="G20" i="1" s="1"/>
  <c r="F27" i="1" s="1"/>
  <c r="F23" i="1"/>
  <c r="F25" i="1"/>
  <c r="F26" i="1"/>
  <c r="O29" i="1" l="1"/>
  <c r="L9" i="1"/>
  <c r="K9" i="1"/>
  <c r="J9" i="1"/>
  <c r="H9" i="1"/>
  <c r="O9" i="1"/>
  <c r="M9" i="1"/>
  <c r="Q9" i="1"/>
  <c r="I9" i="1"/>
  <c r="P9" i="1"/>
  <c r="G9" i="1"/>
  <c r="N9" i="1"/>
  <c r="F39" i="1"/>
  <c r="F41" i="1"/>
  <c r="G41" i="1" s="1"/>
  <c r="F46" i="1"/>
  <c r="H28" i="1"/>
  <c r="G3" i="1"/>
  <c r="H3" i="1" s="1"/>
  <c r="I3" i="1" s="1"/>
  <c r="J3" i="1" s="1"/>
  <c r="K3" i="1" s="1"/>
  <c r="L3" i="1" s="1"/>
  <c r="M3" i="1" s="1"/>
  <c r="N3" i="1" s="1"/>
  <c r="O3" i="1" s="1"/>
  <c r="P3" i="1" s="1"/>
  <c r="Q3" i="1" s="1"/>
  <c r="E27" i="1"/>
  <c r="E28" i="1"/>
  <c r="E32" i="1"/>
  <c r="E41" i="1"/>
  <c r="E20" i="1"/>
  <c r="C46" i="1"/>
  <c r="B46" i="1"/>
  <c r="D32" i="1"/>
  <c r="D28" i="1"/>
  <c r="D27" i="1"/>
  <c r="D20" i="1"/>
  <c r="D41" i="1"/>
  <c r="C29" i="1"/>
  <c r="B28" i="1"/>
  <c r="C26" i="1"/>
  <c r="C25" i="1"/>
  <c r="C23" i="1"/>
  <c r="C22" i="1"/>
  <c r="C21" i="1"/>
  <c r="C19" i="1"/>
  <c r="C16" i="1"/>
  <c r="C17" i="1"/>
  <c r="C18" i="1"/>
  <c r="C41" i="1"/>
  <c r="B41" i="1"/>
  <c r="C39" i="1"/>
  <c r="B38" i="1"/>
  <c r="C37" i="1"/>
  <c r="B37" i="1"/>
  <c r="B36" i="1"/>
  <c r="C35" i="1"/>
  <c r="B44" i="1"/>
  <c r="C20" i="1"/>
  <c r="C27" i="1"/>
  <c r="B27" i="1"/>
  <c r="C32" i="1"/>
  <c r="B34" i="1"/>
  <c r="B32" i="1"/>
  <c r="I46" i="1" l="1"/>
  <c r="H46" i="1"/>
  <c r="G46" i="1"/>
  <c r="G44" i="1"/>
  <c r="H44" i="1" s="1"/>
  <c r="I44" i="1" s="1"/>
  <c r="O39" i="1" s="1"/>
  <c r="O40" i="1" s="1"/>
  <c r="O45" i="1" s="1"/>
  <c r="O49" i="1" s="1"/>
  <c r="R3" i="1"/>
  <c r="B30" i="1" s="1"/>
  <c r="B22" i="1"/>
  <c r="B21" i="1"/>
  <c r="B20" i="1"/>
  <c r="B39" i="1" s="1"/>
  <c r="B31" i="1" l="1"/>
  <c r="C30" i="1"/>
  <c r="F30" i="1" l="1"/>
  <c r="C31" i="1"/>
  <c r="D31" i="1" s="1"/>
  <c r="E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Patterson</author>
  </authors>
  <commentList>
    <comment ref="F14" authorId="0" shapeId="0" xr:uid="{FF940830-76FD-4825-9040-7806C5870BE8}">
      <text>
        <r>
          <rPr>
            <sz val="9"/>
            <color indexed="81"/>
            <rFont val="Tahoma"/>
            <charset val="1"/>
          </rPr>
          <t>Typical motorpool sharing ranges from 1 car for every 4 drivers to 1 for every 20 drivers. Good motorpool management tries for no idle vehicles and no inconvenienced driver.</t>
        </r>
      </text>
    </comment>
    <comment ref="C33" authorId="0" shapeId="0" xr:uid="{06B3D184-7552-4CC5-989A-EDED168FA42E}">
      <text>
        <r>
          <rPr>
            <sz val="9"/>
            <color indexed="81"/>
            <rFont val="Tahoma"/>
            <charset val="1"/>
          </rPr>
          <t>The Campus City Concept involves living downtown if you work downtown. Core benefit: no more commuting (conserves vanishing fuel supply, stops global warming, conserves vital materials, extends permanence of owned vehicle, reduces cost of living, stops junk yard proliferation.</t>
        </r>
      </text>
    </comment>
  </commentList>
</comments>
</file>

<file path=xl/sharedStrings.xml><?xml version="1.0" encoding="utf-8"?>
<sst xmlns="http://schemas.openxmlformats.org/spreadsheetml/2006/main" count="180" uniqueCount="166">
  <si>
    <t>William C. Patterson, Ph.D.</t>
  </si>
  <si>
    <t>City:</t>
  </si>
  <si>
    <t>Pittsburgh</t>
  </si>
  <si>
    <t>Fleet Average MPD</t>
  </si>
  <si>
    <t>Fleet Fuel GPY</t>
  </si>
  <si>
    <t>Strategic Reserve (Gallons)</t>
  </si>
  <si>
    <t>Fleet Avg Age Years</t>
  </si>
  <si>
    <t>Fleet Repair $/Year</t>
  </si>
  <si>
    <t>MSA Population</t>
  </si>
  <si>
    <t>Avg New Car MPG</t>
  </si>
  <si>
    <t>Car Average MPD</t>
  </si>
  <si>
    <t>Car Average MPY</t>
  </si>
  <si>
    <t>Avg New Car Price</t>
  </si>
  <si>
    <t>City Population</t>
  </si>
  <si>
    <t>Avg Age Depreciation</t>
  </si>
  <si>
    <t>Annual Depreciation</t>
  </si>
  <si>
    <t>Car Repair $/Year</t>
  </si>
  <si>
    <t>Strategic Reserve (Days)</t>
  </si>
  <si>
    <t>Fleet Average MPY</t>
  </si>
  <si>
    <t>New Fleet Asset Value</t>
  </si>
  <si>
    <t>Avg Fleet Asset Value</t>
  </si>
  <si>
    <t>% MSA</t>
  </si>
  <si>
    <t>Work in City</t>
  </si>
  <si>
    <t>Drivers Per Capita</t>
  </si>
  <si>
    <t>% City Population</t>
  </si>
  <si>
    <t>Avg Car MPH</t>
  </si>
  <si>
    <t>Avg Car Hours Per Day</t>
  </si>
  <si>
    <t>Fleet Fuel GPD</t>
  </si>
  <si>
    <t>Avg Car Commute %</t>
  </si>
  <si>
    <t>Avg Car Commuting MPD</t>
  </si>
  <si>
    <t>Campus City</t>
  </si>
  <si>
    <t>Model</t>
  </si>
  <si>
    <t>Savings</t>
  </si>
  <si>
    <t>Auto Heat BTU</t>
  </si>
  <si>
    <t>% Saved</t>
  </si>
  <si>
    <t>BTU/Gal</t>
  </si>
  <si>
    <t>Pool Effect</t>
  </si>
  <si>
    <t>Eliminate Commuting</t>
  </si>
  <si>
    <t>Pool</t>
  </si>
  <si>
    <t>Total</t>
  </si>
  <si>
    <t>Campus+Pool</t>
  </si>
  <si>
    <t>Year</t>
  </si>
  <si>
    <t>See Schedule</t>
  </si>
  <si>
    <t>Average</t>
  </si>
  <si>
    <t>Pool+Campus Miles</t>
  </si>
  <si>
    <t>Fleest Size</t>
  </si>
  <si>
    <t>% Savings</t>
  </si>
  <si>
    <t>BTU Saved</t>
  </si>
  <si>
    <t>$ CC Savings</t>
  </si>
  <si>
    <t>% CC Savings</t>
  </si>
  <si>
    <t>$ Pool Savings</t>
  </si>
  <si>
    <t>$ CC+P Savings</t>
  </si>
  <si>
    <t>BTU Pool Savings</t>
  </si>
  <si>
    <t>CC+P BTU Saved</t>
  </si>
  <si>
    <t>% Total BTU Savings</t>
  </si>
  <si>
    <t>CC Reserve Saved</t>
  </si>
  <si>
    <t>% CC Reserve Svgs</t>
  </si>
  <si>
    <t>% Pool Reserve Saved</t>
  </si>
  <si>
    <t>% Original Value</t>
  </si>
  <si>
    <t>Normal Miles</t>
  </si>
  <si>
    <t>Campus City Miles</t>
  </si>
  <si>
    <t>Many peg vehicle life at 100,000 miles</t>
  </si>
  <si>
    <t>Campus City vehicles would last well beyond average car life of 12 years</t>
  </si>
  <si>
    <t>Motor Pooling raises utilization of  a sufficient small pool of shared vehicles  conveniently available</t>
  </si>
  <si>
    <t>Per Driver Car Cost</t>
  </si>
  <si>
    <t>% Total Maintenance Savings</t>
  </si>
  <si>
    <t>See Schecule</t>
  </si>
  <si>
    <t>% Excess wrt CC</t>
  </si>
  <si>
    <t>Total MPD More</t>
  </si>
  <si>
    <t>Total % MPD More</t>
  </si>
  <si>
    <t>wrt Taxi</t>
  </si>
  <si>
    <t>Campus City Motorpool Transportation Model</t>
  </si>
  <si>
    <t>Shared Ownership</t>
  </si>
  <si>
    <t>Interval Lighting saves Pgh 297 BBTU</t>
  </si>
  <si>
    <t>CC+MP saves Pgh 4,900 BBTU (16X IL)</t>
  </si>
  <si>
    <t>Interval Lighting saves Pgh $21M</t>
  </si>
  <si>
    <t>CC+MP saves Pgh $3.6B (171X IL)</t>
  </si>
  <si>
    <t>Type</t>
  </si>
  <si>
    <t>4-Door Sedan</t>
  </si>
  <si>
    <t>SUV</t>
  </si>
  <si>
    <t>Qty</t>
  </si>
  <si>
    <t>Van</t>
  </si>
  <si>
    <t xml:space="preserve">Pick-Up </t>
  </si>
  <si>
    <t>2-Door Sedan</t>
  </si>
  <si>
    <t>4-Door Compact</t>
  </si>
  <si>
    <t>2-Door Compact</t>
  </si>
  <si>
    <t>Compact SUV</t>
  </si>
  <si>
    <t>Moving Truck</t>
  </si>
  <si>
    <t>Salt Truck</t>
  </si>
  <si>
    <t>Tow Truck</t>
  </si>
  <si>
    <t>% Optimal</t>
  </si>
  <si>
    <t>Annual Car Capital Cost/Driver</t>
  </si>
  <si>
    <t>Annual Maintenance/Driver</t>
  </si>
  <si>
    <t>Fuel $/Gal</t>
  </si>
  <si>
    <t>Fleet Gal/Mo</t>
  </si>
  <si>
    <t>Fleet Fuel $/Mo</t>
  </si>
  <si>
    <t>Fuel $/Driver/Mo</t>
  </si>
  <si>
    <t>Car Capital Cost/Driver/Month</t>
  </si>
  <si>
    <t>Maintenance/Driver/Month</t>
  </si>
  <si>
    <t>Driver $/Mo Total</t>
  </si>
  <si>
    <t>City taxi cabs average 70,000 miles per year. Average age 3.3 years. Lifetime Miles 231,000.</t>
  </si>
  <si>
    <t>Campus City Motorpool Transportation Cost Per City Driver</t>
  </si>
  <si>
    <t>Includes gas, maintenance, license, registration, taxes, insurance, finance, depreciation</t>
  </si>
  <si>
    <t>Campus City Motorpool Transportation Savings</t>
  </si>
  <si>
    <t>Like Car Payment</t>
  </si>
  <si>
    <t>Like Dealer Service</t>
  </si>
  <si>
    <t>Like Fuel Cost</t>
  </si>
  <si>
    <t>Includes purchase, maintenance, gas</t>
  </si>
  <si>
    <t>Average Total Cost/Month of U.S. Vehicle Ownership</t>
  </si>
  <si>
    <t>Dr. William C. Patterson</t>
  </si>
  <si>
    <t>Thinking Man's Alternative to Leasing and Ownership</t>
  </si>
  <si>
    <t>Mileage-Based Auto Depreciation Schedules</t>
  </si>
  <si>
    <t>Optimal #</t>
  </si>
  <si>
    <t>Total #</t>
  </si>
  <si>
    <t>% Optimal $</t>
  </si>
  <si>
    <t>Optimal Lb</t>
  </si>
  <si>
    <t>Avg Lb/Car</t>
  </si>
  <si>
    <t>Avg MPG</t>
  </si>
  <si>
    <t>Optimal MPG</t>
  </si>
  <si>
    <t>% Optimal MPG</t>
  </si>
  <si>
    <t>Qty %</t>
  </si>
  <si>
    <t>Avg Lb</t>
  </si>
  <si>
    <t>Avg $/Car</t>
  </si>
  <si>
    <t>Optimal $/Car</t>
  </si>
  <si>
    <t>% Optimal Lb</t>
  </si>
  <si>
    <t>Avg New Car Lb</t>
  </si>
  <si>
    <t>Motorpool Vehicle Portfolio Optimizer</t>
  </si>
  <si>
    <t>Avg %</t>
  </si>
  <si>
    <t>Q x $</t>
  </si>
  <si>
    <t>Q x Lb</t>
  </si>
  <si>
    <t>Q x GPM</t>
  </si>
  <si>
    <t>Avg GPM</t>
  </si>
  <si>
    <t>Avg #/Type</t>
  </si>
  <si>
    <t>Your Fleet</t>
  </si>
  <si>
    <t>Average New Vehicle</t>
  </si>
  <si>
    <t>Comparison</t>
  </si>
  <si>
    <t>Transportation Per Cent of Family Budget</t>
  </si>
  <si>
    <t>Campus City Motorpool Savings % of Family Budget</t>
  </si>
  <si>
    <t>Toyota Camry: Top Seller</t>
  </si>
  <si>
    <t>Toyota Prius: Most Popular Hybrid</t>
  </si>
  <si>
    <t>White Paint: Most Popular Vehicle Color</t>
  </si>
  <si>
    <t>Tesla 3: Most Popular Electric</t>
  </si>
  <si>
    <t>U.S.A. Population</t>
  </si>
  <si>
    <t>Statistical Areas</t>
  </si>
  <si>
    <t>Metropolitan</t>
  </si>
  <si>
    <t>Micropolitan</t>
  </si>
  <si>
    <t>Avg Population In</t>
  </si>
  <si>
    <t>Statistical Area</t>
  </si>
  <si>
    <t>CC+P</t>
  </si>
  <si>
    <t>BTU Savable</t>
  </si>
  <si>
    <t>BTU Savable/SA</t>
  </si>
  <si>
    <t>Quads Savable</t>
  </si>
  <si>
    <t>Quads/F Deg</t>
  </si>
  <si>
    <t>Cooling Effect</t>
  </si>
  <si>
    <t>F Degrees</t>
  </si>
  <si>
    <t>U.S. Area (Sq Miles)</t>
  </si>
  <si>
    <t>World Land (Sq Mi)</t>
  </si>
  <si>
    <t>% World Land</t>
  </si>
  <si>
    <t>F-Deg Rise/100 Yr</t>
  </si>
  <si>
    <t>EPA Data</t>
  </si>
  <si>
    <t>U.S. CC+P Relief</t>
  </si>
  <si>
    <t>U.S.A. Campus City Motorpool Global Warming Impact</t>
  </si>
  <si>
    <t>Htg or Cooling</t>
  </si>
  <si>
    <t>Retrograde Yrs</t>
  </si>
  <si>
    <t>Today</t>
  </si>
  <si>
    <t>Retrograde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</si>
</sst>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0.0"/>
    <numFmt numFmtId="166" formatCode="#,##0.0"/>
    <numFmt numFmtId="167" formatCode="0.000"/>
    <numFmt numFmtId="168" formatCode="0.0%"/>
    <numFmt numFmtId="171" formatCode="[$-409]d\-mmm\-yyyy;@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/>
    </xf>
    <xf numFmtId="3" fontId="5" fillId="3" borderId="0" xfId="3" applyNumberFormat="1" applyAlignment="1">
      <alignment horizontal="center"/>
    </xf>
    <xf numFmtId="6" fontId="5" fillId="3" borderId="0" xfId="3" applyNumberFormat="1" applyAlignment="1">
      <alignment horizontal="center"/>
    </xf>
    <xf numFmtId="0" fontId="4" fillId="2" borderId="0" xfId="2" applyAlignment="1">
      <alignment horizontal="center"/>
    </xf>
    <xf numFmtId="9" fontId="5" fillId="3" borderId="0" xfId="3" applyNumberFormat="1" applyAlignment="1">
      <alignment horizontal="center"/>
    </xf>
    <xf numFmtId="164" fontId="5" fillId="3" borderId="0" xfId="3" applyNumberFormat="1" applyAlignment="1">
      <alignment horizontal="center"/>
    </xf>
    <xf numFmtId="9" fontId="5" fillId="3" borderId="0" xfId="1" applyFont="1" applyFill="1" applyAlignment="1">
      <alignment horizontal="center"/>
    </xf>
    <xf numFmtId="165" fontId="5" fillId="3" borderId="0" xfId="3" applyNumberFormat="1" applyAlignment="1">
      <alignment horizontal="center"/>
    </xf>
    <xf numFmtId="6" fontId="5" fillId="3" borderId="0" xfId="3" applyNumberFormat="1"/>
    <xf numFmtId="0" fontId="5" fillId="3" borderId="0" xfId="3" applyAlignment="1">
      <alignment horizontal="center"/>
    </xf>
    <xf numFmtId="166" fontId="5" fillId="3" borderId="0" xfId="3" applyNumberFormat="1" applyAlignment="1">
      <alignment horizontal="center"/>
    </xf>
    <xf numFmtId="165" fontId="5" fillId="3" borderId="0" xfId="1" applyNumberFormat="1" applyFont="1" applyFill="1" applyAlignment="1">
      <alignment horizontal="center"/>
    </xf>
    <xf numFmtId="2" fontId="5" fillId="3" borderId="0" xfId="3" applyNumberFormat="1" applyAlignment="1">
      <alignment horizontal="center"/>
    </xf>
    <xf numFmtId="1" fontId="5" fillId="3" borderId="0" xfId="3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" fillId="4" borderId="0" xfId="0" applyFont="1" applyFill="1"/>
    <xf numFmtId="0" fontId="0" fillId="4" borderId="0" xfId="0" applyFill="1"/>
    <xf numFmtId="0" fontId="2" fillId="5" borderId="0" xfId="0" applyFont="1" applyFill="1"/>
    <xf numFmtId="0" fontId="0" fillId="5" borderId="0" xfId="0" applyFill="1"/>
    <xf numFmtId="0" fontId="0" fillId="6" borderId="0" xfId="0" applyFill="1"/>
    <xf numFmtId="0" fontId="0" fillId="6" borderId="0" xfId="0" applyFill="1" applyAlignment="1">
      <alignment horizontal="center"/>
    </xf>
    <xf numFmtId="9" fontId="0" fillId="7" borderId="0" xfId="0" applyNumberFormat="1" applyFill="1" applyAlignment="1">
      <alignment horizontal="center"/>
    </xf>
    <xf numFmtId="0" fontId="0" fillId="0" borderId="4" xfId="0" applyBorder="1"/>
    <xf numFmtId="0" fontId="0" fillId="0" borderId="3" xfId="0" applyBorder="1" applyAlignment="1">
      <alignment horizontal="right"/>
    </xf>
    <xf numFmtId="1" fontId="0" fillId="0" borderId="0" xfId="0" applyNumberFormat="1" applyBorder="1" applyAlignment="1">
      <alignment horizontal="center"/>
    </xf>
    <xf numFmtId="3" fontId="5" fillId="3" borderId="0" xfId="3" applyNumberFormat="1" applyBorder="1" applyAlignment="1">
      <alignment horizontal="center"/>
    </xf>
    <xf numFmtId="0" fontId="0" fillId="0" borderId="0" xfId="0" applyBorder="1"/>
    <xf numFmtId="9" fontId="0" fillId="0" borderId="0" xfId="0" applyNumberFormat="1" applyBorder="1" applyAlignment="1">
      <alignment horizontal="center"/>
    </xf>
    <xf numFmtId="9" fontId="5" fillId="3" borderId="0" xfId="1" applyFont="1" applyFill="1" applyBorder="1" applyAlignment="1">
      <alignment horizontal="center"/>
    </xf>
    <xf numFmtId="9" fontId="5" fillId="3" borderId="0" xfId="3" applyNumberFormat="1" applyBorder="1" applyAlignment="1">
      <alignment horizontal="center"/>
    </xf>
    <xf numFmtId="9" fontId="5" fillId="3" borderId="4" xfId="3" applyNumberFormat="1" applyBorder="1" applyAlignment="1">
      <alignment horizontal="center"/>
    </xf>
    <xf numFmtId="3" fontId="5" fillId="3" borderId="4" xfId="3" applyNumberFormat="1" applyBorder="1" applyAlignment="1">
      <alignment horizontal="center"/>
    </xf>
    <xf numFmtId="9" fontId="0" fillId="0" borderId="0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0" fontId="0" fillId="0" borderId="3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4" xfId="0" applyFont="1" applyBorder="1"/>
    <xf numFmtId="3" fontId="5" fillId="8" borderId="0" xfId="3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8" fillId="9" borderId="1" xfId="0" applyFont="1" applyFill="1" applyBorder="1"/>
    <xf numFmtId="0" fontId="8" fillId="9" borderId="2" xfId="0" applyFont="1" applyFill="1" applyBorder="1"/>
    <xf numFmtId="0" fontId="9" fillId="9" borderId="2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6" fontId="0" fillId="7" borderId="0" xfId="0" applyNumberFormat="1" applyFill="1" applyAlignment="1">
      <alignment horizontal="center"/>
    </xf>
    <xf numFmtId="3" fontId="0" fillId="7" borderId="0" xfId="0" applyNumberFormat="1" applyFill="1" applyAlignment="1">
      <alignment horizontal="center"/>
    </xf>
    <xf numFmtId="1" fontId="0" fillId="7" borderId="0" xfId="0" applyNumberFormat="1" applyFill="1" applyAlignment="1">
      <alignment horizontal="center"/>
    </xf>
    <xf numFmtId="9" fontId="0" fillId="7" borderId="0" xfId="1" applyFont="1" applyFill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right"/>
    </xf>
    <xf numFmtId="3" fontId="4" fillId="2" borderId="0" xfId="2" applyNumberFormat="1" applyAlignment="1">
      <alignment horizontal="center"/>
    </xf>
    <xf numFmtId="0" fontId="11" fillId="0" borderId="0" xfId="0" applyFont="1" applyAlignment="1">
      <alignment horizontal="right"/>
    </xf>
    <xf numFmtId="8" fontId="4" fillId="2" borderId="0" xfId="2" applyNumberFormat="1" applyAlignment="1">
      <alignment horizontal="center"/>
    </xf>
    <xf numFmtId="6" fontId="12" fillId="3" borderId="0" xfId="3" applyNumberFormat="1" applyFont="1" applyAlignment="1">
      <alignment horizontal="center"/>
    </xf>
    <xf numFmtId="0" fontId="7" fillId="0" borderId="0" xfId="0" applyFont="1" applyAlignment="1">
      <alignment horizontal="right"/>
    </xf>
    <xf numFmtId="6" fontId="7" fillId="0" borderId="0" xfId="0" applyNumberFormat="1" applyFont="1" applyAlignment="1">
      <alignment horizontal="center"/>
    </xf>
    <xf numFmtId="9" fontId="12" fillId="3" borderId="0" xfId="1" applyFont="1" applyFill="1" applyAlignment="1">
      <alignment horizontal="center"/>
    </xf>
    <xf numFmtId="0" fontId="0" fillId="10" borderId="0" xfId="0" applyFill="1"/>
    <xf numFmtId="0" fontId="8" fillId="9" borderId="0" xfId="0" applyFont="1" applyFill="1" applyBorder="1"/>
    <xf numFmtId="0" fontId="7" fillId="6" borderId="0" xfId="0" applyFont="1" applyFill="1" applyAlignment="1">
      <alignment horizontal="left"/>
    </xf>
    <xf numFmtId="0" fontId="0" fillId="9" borderId="0" xfId="0" applyFill="1"/>
    <xf numFmtId="0" fontId="8" fillId="9" borderId="0" xfId="0" applyFont="1" applyFill="1"/>
    <xf numFmtId="0" fontId="13" fillId="9" borderId="0" xfId="0" applyFont="1" applyFill="1" applyAlignment="1">
      <alignment horizontal="center"/>
    </xf>
    <xf numFmtId="6" fontId="13" fillId="9" borderId="0" xfId="0" applyNumberFormat="1" applyFont="1" applyFill="1" applyAlignment="1">
      <alignment horizontal="center"/>
    </xf>
    <xf numFmtId="9" fontId="0" fillId="6" borderId="0" xfId="0" applyNumberFormat="1" applyFill="1" applyAlignment="1">
      <alignment horizontal="center"/>
    </xf>
    <xf numFmtId="6" fontId="4" fillId="2" borderId="0" xfId="2" applyNumberFormat="1" applyAlignment="1">
      <alignment horizontal="center"/>
    </xf>
    <xf numFmtId="9" fontId="4" fillId="2" borderId="0" xfId="2" applyNumberFormat="1" applyAlignment="1">
      <alignment horizontal="center"/>
    </xf>
    <xf numFmtId="1" fontId="4" fillId="2" borderId="0" xfId="2" applyNumberFormat="1" applyAlignment="1">
      <alignment horizontal="center"/>
    </xf>
    <xf numFmtId="0" fontId="0" fillId="7" borderId="0" xfId="0" applyFill="1"/>
    <xf numFmtId="164" fontId="4" fillId="2" borderId="0" xfId="2" applyNumberFormat="1" applyAlignment="1">
      <alignment horizontal="center"/>
    </xf>
    <xf numFmtId="0" fontId="0" fillId="0" borderId="0" xfId="0" applyAlignment="1">
      <alignment horizontal="left"/>
    </xf>
    <xf numFmtId="168" fontId="5" fillId="3" borderId="0" xfId="1" applyNumberFormat="1" applyFont="1" applyFill="1" applyAlignment="1">
      <alignment horizontal="center"/>
    </xf>
    <xf numFmtId="167" fontId="5" fillId="3" borderId="0" xfId="3" applyNumberFormat="1" applyAlignment="1">
      <alignment horizontal="center"/>
    </xf>
    <xf numFmtId="0" fontId="7" fillId="6" borderId="0" xfId="0" applyFont="1" applyFill="1" applyAlignment="1">
      <alignment horizontal="center"/>
    </xf>
    <xf numFmtId="9" fontId="13" fillId="9" borderId="0" xfId="2" applyNumberFormat="1" applyFont="1" applyFill="1" applyAlignment="1">
      <alignment horizontal="center"/>
    </xf>
    <xf numFmtId="9" fontId="13" fillId="9" borderId="0" xfId="0" applyNumberFormat="1" applyFont="1" applyFill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7" fillId="6" borderId="0" xfId="0" applyFont="1" applyFill="1"/>
    <xf numFmtId="0" fontId="0" fillId="7" borderId="0" xfId="0" applyFill="1" applyAlignment="1">
      <alignment horizontal="center"/>
    </xf>
    <xf numFmtId="171" fontId="5" fillId="3" borderId="0" xfId="3" applyNumberFormat="1" applyAlignment="1">
      <alignment horizontal="center"/>
    </xf>
  </cellXfs>
  <cellStyles count="4">
    <cellStyle name="Bad" xfId="3" builtinId="27"/>
    <cellStyle name="Good" xfId="2" builtinId="26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jpg"/><Relationship Id="rId7" Type="http://schemas.openxmlformats.org/officeDocument/2006/relationships/image" Target="../media/image6.jpeg"/><Relationship Id="rId2" Type="http://schemas.openxmlformats.org/officeDocument/2006/relationships/hyperlink" Target="https://en.wikipedia.org/wiki/Parking_guidance_and_information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11" Type="http://schemas.openxmlformats.org/officeDocument/2006/relationships/hyperlink" Target="https://www.flickr.com/photos/126131780@N08/14713763828" TargetMode="External"/><Relationship Id="rId5" Type="http://schemas.openxmlformats.org/officeDocument/2006/relationships/image" Target="../media/image4.png"/><Relationship Id="rId10" Type="http://schemas.openxmlformats.org/officeDocument/2006/relationships/image" Target="../media/image9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3</xdr:row>
      <xdr:rowOff>9525</xdr:rowOff>
    </xdr:from>
    <xdr:to>
      <xdr:col>2</xdr:col>
      <xdr:colOff>1076325</xdr:colOff>
      <xdr:row>11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408AC8-9B71-49BB-B539-595516F2E8E1}"/>
            </a:ext>
          </a:extLst>
        </xdr:cNvPr>
        <xdr:cNvSpPr txBox="1"/>
      </xdr:nvSpPr>
      <xdr:spPr>
        <a:xfrm>
          <a:off x="38101" y="628650"/>
          <a:ext cx="4095749" cy="16859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Model shows that adopting the commuter-free Campus City Model along with the shared-ownership City Motor Pool Model of Transportation that city-dwelling drivers can have the benefit of personal transportation</a:t>
          </a:r>
          <a:r>
            <a:rPr lang="en-US" sz="1100" baseline="0"/>
            <a:t> with 89% ownership savings, 25% maintenance savings, and 82% reduction in global warming. Motor Pool vehicles have higher utilization than a private car, but 1/3 the rate-of-use for a city taxi. Cost of Living reduction, pollution abatement, and global warming relief achievable by CC + MP initiatives are highly significant benefits in problem-laden urbana. </a:t>
          </a:r>
          <a:endParaRPr lang="en-US" sz="1100"/>
        </a:p>
      </xdr:txBody>
    </xdr:sp>
    <xdr:clientData/>
  </xdr:twoCellAnchor>
  <xdr:twoCellAnchor editAs="oneCell">
    <xdr:from>
      <xdr:col>3</xdr:col>
      <xdr:colOff>114301</xdr:colOff>
      <xdr:row>32</xdr:row>
      <xdr:rowOff>47626</xdr:rowOff>
    </xdr:from>
    <xdr:to>
      <xdr:col>4</xdr:col>
      <xdr:colOff>983190</xdr:colOff>
      <xdr:row>38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C3B16B1-5D0B-44E6-AD5F-DA23399AE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>
          <a:off x="4257676" y="6010276"/>
          <a:ext cx="2269064" cy="1276349"/>
        </a:xfrm>
        <a:prstGeom prst="rect">
          <a:avLst/>
        </a:prstGeom>
      </xdr:spPr>
    </xdr:pic>
    <xdr:clientData/>
  </xdr:twoCellAnchor>
  <xdr:twoCellAnchor editAs="oneCell">
    <xdr:from>
      <xdr:col>20</xdr:col>
      <xdr:colOff>438149</xdr:colOff>
      <xdr:row>1</xdr:row>
      <xdr:rowOff>27520</xdr:rowOff>
    </xdr:from>
    <xdr:to>
      <xdr:col>22</xdr:col>
      <xdr:colOff>376071</xdr:colOff>
      <xdr:row>9</xdr:row>
      <xdr:rowOff>57150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A473D32-3716-4A5B-A4E1-4AFD8E840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69149" y="265645"/>
          <a:ext cx="1319047" cy="155363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8</xdr:col>
      <xdr:colOff>323851</xdr:colOff>
      <xdr:row>15</xdr:row>
      <xdr:rowOff>104776</xdr:rowOff>
    </xdr:from>
    <xdr:to>
      <xdr:col>11</xdr:col>
      <xdr:colOff>370310</xdr:colOff>
      <xdr:row>21</xdr:row>
      <xdr:rowOff>123826</xdr:rowOff>
    </xdr:to>
    <xdr:pic>
      <xdr:nvPicPr>
        <xdr:cNvPr id="8" name="Picture 7" descr="2020 Toyota Camry paint color options">
          <a:extLst>
            <a:ext uri="{FF2B5EF4-FFF2-40B4-BE49-F238E27FC236}">
              <a16:creationId xmlns:a16="http://schemas.microsoft.com/office/drawing/2014/main" id="{62F4F6DD-8F4B-4236-946E-28D173373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26" y="3019426"/>
          <a:ext cx="2608684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828675</xdr:colOff>
      <xdr:row>32</xdr:row>
      <xdr:rowOff>47626</xdr:rowOff>
    </xdr:from>
    <xdr:to>
      <xdr:col>8</xdr:col>
      <xdr:colOff>781050</xdr:colOff>
      <xdr:row>38</xdr:row>
      <xdr:rowOff>239</xdr:rowOff>
    </xdr:to>
    <xdr:pic>
      <xdr:nvPicPr>
        <xdr:cNvPr id="9" name="Picture 8" descr="2020 Tesla Model 3 electric Price, Review, Ratings and Pictures |  TheCarHP.com">
          <a:extLst>
            <a:ext uri="{FF2B5EF4-FFF2-40B4-BE49-F238E27FC236}">
              <a16:creationId xmlns:a16="http://schemas.microsoft.com/office/drawing/2014/main" id="{8F593044-CEC8-4DAC-9CB5-219265A60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62975" y="6200776"/>
          <a:ext cx="2038350" cy="1095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9525</xdr:colOff>
      <xdr:row>15</xdr:row>
      <xdr:rowOff>28573</xdr:rowOff>
    </xdr:from>
    <xdr:to>
      <xdr:col>27</xdr:col>
      <xdr:colOff>85724</xdr:colOff>
      <xdr:row>34</xdr:row>
      <xdr:rowOff>57150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9D53FEF-F45E-453E-AF99-707258645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30900" y="2943223"/>
          <a:ext cx="5314949" cy="366712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20</xdr:row>
      <xdr:rowOff>10140</xdr:rowOff>
    </xdr:from>
    <xdr:to>
      <xdr:col>4</xdr:col>
      <xdr:colOff>361950</xdr:colOff>
      <xdr:row>24</xdr:row>
      <xdr:rowOff>175167</xdr:rowOff>
    </xdr:to>
    <xdr:pic>
      <xdr:nvPicPr>
        <xdr:cNvPr id="10" name="Picture 9" descr="15 Best Hybrid Cars of 2020: Reviews, Photos, and More | CarMax">
          <a:extLst>
            <a:ext uri="{FF2B5EF4-FFF2-40B4-BE49-F238E27FC236}">
              <a16:creationId xmlns:a16="http://schemas.microsoft.com/office/drawing/2014/main" id="{5BDF119F-2250-46AA-8019-5175BBDC7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3877290"/>
          <a:ext cx="1762125" cy="9365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19050</xdr:colOff>
      <xdr:row>11</xdr:row>
      <xdr:rowOff>66676</xdr:rowOff>
    </xdr:from>
    <xdr:to>
      <xdr:col>26</xdr:col>
      <xdr:colOff>590550</xdr:colOff>
      <xdr:row>14</xdr:row>
      <xdr:rowOff>9526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FD88451-5582-455F-8733-8594E7954275}"/>
            </a:ext>
          </a:extLst>
        </xdr:cNvPr>
        <xdr:cNvSpPr txBox="1"/>
      </xdr:nvSpPr>
      <xdr:spPr>
        <a:xfrm>
          <a:off x="12401550" y="2219326"/>
          <a:ext cx="11315700" cy="5143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Compose your city's motorpool below according to driver preference, environmental stewardship, budget economy, fuel efficiency, etc.</a:t>
          </a:r>
        </a:p>
        <a:p>
          <a:pPr algn="ctr"/>
          <a:r>
            <a:rPr lang="en-US" sz="1100"/>
            <a:t>Values shown in Green Cells are hypothetical examples only. Gallons Per Mile and Miles Per  Gallon are calculated based on vehicle weight.</a:t>
          </a:r>
        </a:p>
        <a:p>
          <a:pPr algn="ctr"/>
          <a:endParaRPr lang="en-US" sz="1100"/>
        </a:p>
      </xdr:txBody>
    </xdr:sp>
    <xdr:clientData/>
  </xdr:twoCellAnchor>
  <xdr:twoCellAnchor editAs="oneCell">
    <xdr:from>
      <xdr:col>18</xdr:col>
      <xdr:colOff>124520</xdr:colOff>
      <xdr:row>1</xdr:row>
      <xdr:rowOff>152399</xdr:rowOff>
    </xdr:from>
    <xdr:to>
      <xdr:col>20</xdr:col>
      <xdr:colOff>266700</xdr:colOff>
      <xdr:row>10</xdr:row>
      <xdr:rowOff>7814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17656820-4DEB-4497-9826-E8B69B0C8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12470" y="390524"/>
          <a:ext cx="1561405" cy="1569915"/>
        </a:xfrm>
        <a:prstGeom prst="rect">
          <a:avLst/>
        </a:prstGeom>
      </xdr:spPr>
    </xdr:pic>
    <xdr:clientData/>
  </xdr:twoCellAnchor>
  <xdr:twoCellAnchor editAs="oneCell">
    <xdr:from>
      <xdr:col>22</xdr:col>
      <xdr:colOff>514350</xdr:colOff>
      <xdr:row>1</xdr:row>
      <xdr:rowOff>123824</xdr:rowOff>
    </xdr:from>
    <xdr:to>
      <xdr:col>26</xdr:col>
      <xdr:colOff>476000</xdr:colOff>
      <xdr:row>10</xdr:row>
      <xdr:rowOff>67540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3AE8BE13-1015-414A-87F4-31ED1152A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02650" y="361949"/>
          <a:ext cx="2400050" cy="1658216"/>
        </a:xfrm>
        <a:prstGeom prst="rect">
          <a:avLst/>
        </a:prstGeom>
      </xdr:spPr>
    </xdr:pic>
    <xdr:clientData/>
  </xdr:twoCellAnchor>
  <xdr:twoCellAnchor editAs="oneCell">
    <xdr:from>
      <xdr:col>18</xdr:col>
      <xdr:colOff>104774</xdr:colOff>
      <xdr:row>37</xdr:row>
      <xdr:rowOff>59531</xdr:rowOff>
    </xdr:from>
    <xdr:to>
      <xdr:col>21</xdr:col>
      <xdr:colOff>171449</xdr:colOff>
      <xdr:row>45</xdr:row>
      <xdr:rowOff>71437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C004182-8B00-4B0C-973D-7C6950A05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11"/>
            </a:ext>
          </a:extLst>
        </a:blip>
        <a:stretch>
          <a:fillRect/>
        </a:stretch>
      </xdr:blipFill>
      <xdr:spPr>
        <a:xfrm flipH="1">
          <a:off x="18116549" y="7184231"/>
          <a:ext cx="2257425" cy="1535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19EC2-B5E5-435A-80A6-47F05FAA8C78}">
  <dimension ref="A1:AA55"/>
  <sheetViews>
    <sheetView tabSelected="1" topLeftCell="A31" workbookViewId="0">
      <selection activeCell="F60" sqref="F60"/>
    </sheetView>
  </sheetViews>
  <sheetFormatPr defaultRowHeight="15" x14ac:dyDescent="0.25"/>
  <cols>
    <col min="1" max="1" width="28.140625" customWidth="1"/>
    <col min="2" max="2" width="17.7109375" customWidth="1"/>
    <col min="3" max="3" width="16.28515625" customWidth="1"/>
    <col min="4" max="4" width="21" customWidth="1"/>
    <col min="5" max="5" width="17.5703125" customWidth="1"/>
    <col min="6" max="6" width="15.28515625" customWidth="1"/>
    <col min="7" max="7" width="14.5703125" customWidth="1"/>
    <col min="8" max="8" width="16.7109375" bestFit="1" customWidth="1"/>
    <col min="9" max="9" width="17.28515625" bestFit="1" customWidth="1"/>
    <col min="10" max="10" width="12" bestFit="1" customWidth="1"/>
    <col min="12" max="12" width="10.5703125" customWidth="1"/>
    <col min="13" max="13" width="14" customWidth="1"/>
    <col min="14" max="14" width="13.5703125" bestFit="1" customWidth="1"/>
    <col min="15" max="15" width="11" customWidth="1"/>
    <col min="16" max="16" width="12.5703125" customWidth="1"/>
    <col min="17" max="17" width="13.5703125" customWidth="1"/>
    <col min="20" max="20" width="12.140625" bestFit="1" customWidth="1"/>
    <col min="21" max="21" width="11.5703125" bestFit="1" customWidth="1"/>
  </cols>
  <sheetData>
    <row r="1" spans="1:27" ht="18.75" x14ac:dyDescent="0.3">
      <c r="A1" s="17" t="s">
        <v>71</v>
      </c>
      <c r="B1" s="18"/>
      <c r="C1" s="18"/>
      <c r="D1" s="43"/>
      <c r="E1" s="44"/>
      <c r="F1" s="44"/>
      <c r="G1" s="44"/>
      <c r="H1" s="44"/>
      <c r="I1" s="44"/>
      <c r="J1" s="44"/>
      <c r="K1" s="45" t="s">
        <v>111</v>
      </c>
      <c r="L1" s="44"/>
      <c r="M1" s="44"/>
      <c r="N1" s="44"/>
      <c r="O1" s="44"/>
      <c r="P1" s="44"/>
      <c r="Q1" s="44"/>
      <c r="R1" s="44"/>
      <c r="S1" s="66"/>
      <c r="T1" s="66"/>
      <c r="U1" s="66"/>
      <c r="V1" s="66"/>
      <c r="W1" s="66"/>
      <c r="X1" s="66"/>
      <c r="Y1" s="66"/>
      <c r="Z1" s="66"/>
      <c r="AA1" s="66"/>
    </row>
    <row r="2" spans="1:27" x14ac:dyDescent="0.25">
      <c r="A2" s="19" t="s">
        <v>110</v>
      </c>
      <c r="B2" s="20"/>
      <c r="C2" s="20"/>
      <c r="D2" s="37" t="s">
        <v>41</v>
      </c>
      <c r="E2" s="38">
        <v>0</v>
      </c>
      <c r="F2" s="38">
        <v>1</v>
      </c>
      <c r="G2" s="38">
        <v>2</v>
      </c>
      <c r="H2" s="38">
        <v>3</v>
      </c>
      <c r="I2" s="38">
        <v>4</v>
      </c>
      <c r="J2" s="38">
        <v>5</v>
      </c>
      <c r="K2" s="16">
        <v>6</v>
      </c>
      <c r="L2" s="38">
        <v>7</v>
      </c>
      <c r="M2" s="38">
        <v>8</v>
      </c>
      <c r="N2" s="38">
        <v>9</v>
      </c>
      <c r="O2" s="38">
        <v>10</v>
      </c>
      <c r="P2" s="38">
        <v>11</v>
      </c>
      <c r="Q2" s="38">
        <v>12</v>
      </c>
      <c r="R2" s="39" t="s">
        <v>43</v>
      </c>
      <c r="S2" s="66"/>
      <c r="T2" s="66"/>
      <c r="U2" s="66"/>
      <c r="V2" s="66"/>
      <c r="W2" s="66"/>
      <c r="X2" s="66"/>
      <c r="Y2" s="66"/>
      <c r="Z2" s="66"/>
      <c r="AA2" s="66"/>
    </row>
    <row r="3" spans="1:27" x14ac:dyDescent="0.25">
      <c r="A3" s="88" t="s">
        <v>0</v>
      </c>
      <c r="B3" s="81">
        <v>2020</v>
      </c>
      <c r="C3" s="22"/>
      <c r="D3" s="25" t="s">
        <v>58</v>
      </c>
      <c r="E3" s="29">
        <v>1</v>
      </c>
      <c r="F3" s="30">
        <f>E3*(1-0.2)</f>
        <v>0.8</v>
      </c>
      <c r="G3" s="31">
        <f t="shared" ref="G3:Q3" si="0">F3*(1-15%)</f>
        <v>0.68</v>
      </c>
      <c r="H3" s="31">
        <f t="shared" si="0"/>
        <v>0.57800000000000007</v>
      </c>
      <c r="I3" s="31">
        <f t="shared" si="0"/>
        <v>0.49130000000000007</v>
      </c>
      <c r="J3" s="31">
        <f t="shared" si="0"/>
        <v>0.41760500000000006</v>
      </c>
      <c r="K3" s="31">
        <f t="shared" si="0"/>
        <v>0.35496425000000004</v>
      </c>
      <c r="L3" s="31">
        <f t="shared" si="0"/>
        <v>0.30171961250000001</v>
      </c>
      <c r="M3" s="31">
        <f t="shared" si="0"/>
        <v>0.25646167062500003</v>
      </c>
      <c r="N3" s="31">
        <f t="shared" si="0"/>
        <v>0.21799242003125002</v>
      </c>
      <c r="O3" s="31">
        <f t="shared" si="0"/>
        <v>0.18529355702656253</v>
      </c>
      <c r="P3" s="31">
        <f t="shared" si="0"/>
        <v>0.15749952347257815</v>
      </c>
      <c r="Q3" s="31">
        <f t="shared" si="0"/>
        <v>0.13387459495169143</v>
      </c>
      <c r="R3" s="32">
        <f>AVERAGE(E3:Q3)</f>
        <v>0.42882389450823705</v>
      </c>
      <c r="S3" s="65"/>
      <c r="T3" s="65"/>
      <c r="U3" s="65"/>
      <c r="V3" s="65"/>
      <c r="W3" s="65"/>
      <c r="X3" s="65"/>
      <c r="Y3" s="65"/>
      <c r="Z3" s="65"/>
      <c r="AA3" s="65"/>
    </row>
    <row r="4" spans="1:27" x14ac:dyDescent="0.25">
      <c r="B4" s="1"/>
      <c r="D4" s="25" t="s">
        <v>59</v>
      </c>
      <c r="E4" s="26">
        <v>0</v>
      </c>
      <c r="F4" s="27">
        <f>B35</f>
        <v>13476</v>
      </c>
      <c r="G4" s="27">
        <f t="shared" ref="G4:Q4" si="1">$F$4*G2</f>
        <v>26952</v>
      </c>
      <c r="H4" s="27">
        <f t="shared" si="1"/>
        <v>40428</v>
      </c>
      <c r="I4" s="27">
        <f t="shared" si="1"/>
        <v>53904</v>
      </c>
      <c r="J4" s="27">
        <f t="shared" si="1"/>
        <v>67380</v>
      </c>
      <c r="K4" s="27">
        <f t="shared" si="1"/>
        <v>80856</v>
      </c>
      <c r="L4" s="27">
        <f t="shared" si="1"/>
        <v>94332</v>
      </c>
      <c r="M4" s="40">
        <f t="shared" si="1"/>
        <v>107808</v>
      </c>
      <c r="N4" s="27">
        <f t="shared" si="1"/>
        <v>121284</v>
      </c>
      <c r="O4" s="27">
        <f t="shared" si="1"/>
        <v>134760</v>
      </c>
      <c r="P4" s="27">
        <f t="shared" si="1"/>
        <v>148236</v>
      </c>
      <c r="Q4" s="27">
        <f t="shared" si="1"/>
        <v>161712</v>
      </c>
      <c r="R4" s="33">
        <f>AVERAGE(E4:Q4)</f>
        <v>80856</v>
      </c>
      <c r="S4" s="65"/>
      <c r="T4" s="65"/>
      <c r="U4" s="65"/>
      <c r="V4" s="65"/>
      <c r="W4" s="65"/>
      <c r="X4" s="65"/>
      <c r="Y4" s="65"/>
      <c r="Z4" s="65"/>
      <c r="AA4" s="65"/>
    </row>
    <row r="5" spans="1:27" x14ac:dyDescent="0.25">
      <c r="B5" s="1"/>
      <c r="D5" s="47" t="s">
        <v>61</v>
      </c>
      <c r="E5" s="26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4"/>
      <c r="S5" s="18"/>
      <c r="T5" s="18"/>
      <c r="U5" s="18"/>
      <c r="V5" s="18"/>
      <c r="W5" s="18"/>
      <c r="X5" s="18"/>
      <c r="Y5" s="18"/>
      <c r="Z5" s="18"/>
      <c r="AA5" s="18"/>
    </row>
    <row r="6" spans="1:27" x14ac:dyDescent="0.25">
      <c r="B6" s="1"/>
      <c r="D6" s="25" t="s">
        <v>60</v>
      </c>
      <c r="E6" s="26">
        <v>0</v>
      </c>
      <c r="F6" s="27">
        <f>C35</f>
        <v>5794.6800000000012</v>
      </c>
      <c r="G6" s="27">
        <f t="shared" ref="G6:Q6" si="2">$F$6*G2</f>
        <v>11589.360000000002</v>
      </c>
      <c r="H6" s="27">
        <f t="shared" si="2"/>
        <v>17384.040000000005</v>
      </c>
      <c r="I6" s="27">
        <f t="shared" si="2"/>
        <v>23178.720000000005</v>
      </c>
      <c r="J6" s="27">
        <f t="shared" si="2"/>
        <v>28973.400000000005</v>
      </c>
      <c r="K6" s="27">
        <f t="shared" si="2"/>
        <v>34768.080000000009</v>
      </c>
      <c r="L6" s="27">
        <f t="shared" si="2"/>
        <v>40562.760000000009</v>
      </c>
      <c r="M6" s="27">
        <f t="shared" si="2"/>
        <v>46357.44000000001</v>
      </c>
      <c r="N6" s="27">
        <f t="shared" si="2"/>
        <v>52152.12000000001</v>
      </c>
      <c r="O6" s="27">
        <f t="shared" si="2"/>
        <v>57946.80000000001</v>
      </c>
      <c r="P6" s="27">
        <f t="shared" si="2"/>
        <v>63741.48000000001</v>
      </c>
      <c r="Q6" s="27">
        <f t="shared" si="2"/>
        <v>69536.160000000018</v>
      </c>
      <c r="R6" s="33">
        <f>AVERAGE(E6:Q6)</f>
        <v>34768.080000000002</v>
      </c>
      <c r="S6" s="18"/>
      <c r="T6" s="18"/>
      <c r="U6" s="18"/>
      <c r="V6" s="18"/>
      <c r="W6" s="18"/>
      <c r="X6" s="18"/>
      <c r="Y6" s="18"/>
      <c r="Z6" s="18"/>
      <c r="AA6" s="18"/>
    </row>
    <row r="7" spans="1:27" x14ac:dyDescent="0.25">
      <c r="B7" s="1"/>
      <c r="D7" s="25" t="s">
        <v>58</v>
      </c>
      <c r="E7" s="29">
        <v>1</v>
      </c>
      <c r="F7" s="30">
        <f t="shared" ref="F7:Q7" si="3">E7-(E3-F3)*F6/F4</f>
        <v>0.91400000000000003</v>
      </c>
      <c r="G7" s="30">
        <f t="shared" si="3"/>
        <v>0.86240000000000006</v>
      </c>
      <c r="H7" s="30">
        <f t="shared" si="3"/>
        <v>0.81854000000000005</v>
      </c>
      <c r="I7" s="30">
        <f t="shared" si="3"/>
        <v>0.78125900000000004</v>
      </c>
      <c r="J7" s="30">
        <f t="shared" si="3"/>
        <v>0.74957015000000005</v>
      </c>
      <c r="K7" s="30">
        <f t="shared" si="3"/>
        <v>0.72263462750000007</v>
      </c>
      <c r="L7" s="30">
        <f t="shared" si="3"/>
        <v>0.69973943337500011</v>
      </c>
      <c r="M7" s="30">
        <f t="shared" si="3"/>
        <v>0.68027851836875008</v>
      </c>
      <c r="N7" s="30">
        <f t="shared" si="3"/>
        <v>0.66373674061343757</v>
      </c>
      <c r="O7" s="30">
        <f t="shared" si="3"/>
        <v>0.6496762295214219</v>
      </c>
      <c r="P7" s="30">
        <f t="shared" si="3"/>
        <v>0.63772479509320856</v>
      </c>
      <c r="Q7" s="30">
        <f t="shared" si="3"/>
        <v>0.6275660758292273</v>
      </c>
      <c r="R7" s="32">
        <f>AVERAGE(E7:Q7)</f>
        <v>0.75439427463854192</v>
      </c>
      <c r="S7" s="20"/>
      <c r="T7" s="20"/>
      <c r="U7" s="20"/>
      <c r="V7" s="20"/>
      <c r="W7" s="20"/>
      <c r="X7" s="20"/>
      <c r="Y7" s="20"/>
      <c r="Z7" s="20"/>
      <c r="AA7" s="20"/>
    </row>
    <row r="8" spans="1:27" x14ac:dyDescent="0.25">
      <c r="B8" s="1"/>
      <c r="D8" s="47" t="s">
        <v>62</v>
      </c>
      <c r="E8" s="26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4"/>
      <c r="S8" s="20"/>
      <c r="T8" s="20"/>
      <c r="U8" s="20"/>
      <c r="V8" s="20"/>
      <c r="W8" s="20"/>
      <c r="X8" s="20"/>
      <c r="Y8" s="20"/>
      <c r="Z8" s="20"/>
      <c r="AA8" s="20"/>
    </row>
    <row r="9" spans="1:27" x14ac:dyDescent="0.25">
      <c r="B9" s="1"/>
      <c r="D9" s="36" t="s">
        <v>44</v>
      </c>
      <c r="E9" s="26">
        <v>0</v>
      </c>
      <c r="F9" s="27">
        <f>F35</f>
        <v>23178.720000000005</v>
      </c>
      <c r="G9" s="27">
        <f t="shared" ref="G9:Q9" si="4">$F$9*G2</f>
        <v>46357.44000000001</v>
      </c>
      <c r="H9" s="27">
        <f t="shared" si="4"/>
        <v>69536.160000000018</v>
      </c>
      <c r="I9" s="27">
        <f t="shared" si="4"/>
        <v>92714.880000000019</v>
      </c>
      <c r="J9" s="40">
        <f t="shared" si="4"/>
        <v>115893.60000000002</v>
      </c>
      <c r="K9" s="27">
        <f t="shared" si="4"/>
        <v>139072.32000000004</v>
      </c>
      <c r="L9" s="27">
        <f t="shared" si="4"/>
        <v>162251.04000000004</v>
      </c>
      <c r="M9" s="27">
        <f t="shared" si="4"/>
        <v>185429.76000000004</v>
      </c>
      <c r="N9" s="27">
        <f t="shared" si="4"/>
        <v>208608.48000000004</v>
      </c>
      <c r="O9" s="40">
        <f t="shared" si="4"/>
        <v>231787.20000000004</v>
      </c>
      <c r="P9" s="27">
        <f t="shared" si="4"/>
        <v>254965.92000000004</v>
      </c>
      <c r="Q9" s="27">
        <f t="shared" si="4"/>
        <v>278144.64000000007</v>
      </c>
      <c r="R9" s="33">
        <f>AVERAGE(E9:Q9)</f>
        <v>139072.32000000001</v>
      </c>
      <c r="S9" s="21"/>
      <c r="T9" s="21"/>
      <c r="U9" s="21"/>
      <c r="V9" s="21"/>
      <c r="W9" s="21"/>
      <c r="X9" s="21"/>
      <c r="Y9" s="21"/>
      <c r="Z9" s="21"/>
      <c r="AA9" s="21"/>
    </row>
    <row r="10" spans="1:27" x14ac:dyDescent="0.25">
      <c r="B10" s="1"/>
      <c r="D10" s="36" t="s">
        <v>58</v>
      </c>
      <c r="E10" s="34">
        <v>1</v>
      </c>
      <c r="F10" s="30">
        <f t="shared" ref="F10:Q10" si="5">IF((E10-(E3-F3)*F9/F4)&gt;0,(E10-(E3-F3)*F9/F4),0)</f>
        <v>0.65600000000000003</v>
      </c>
      <c r="G10" s="30">
        <f t="shared" si="5"/>
        <v>0.4496</v>
      </c>
      <c r="H10" s="30">
        <f t="shared" si="5"/>
        <v>0.27415999999999996</v>
      </c>
      <c r="I10" s="30">
        <f t="shared" si="5"/>
        <v>0.12503599999999992</v>
      </c>
      <c r="J10" s="30">
        <f t="shared" si="5"/>
        <v>0</v>
      </c>
      <c r="K10" s="30">
        <f t="shared" si="5"/>
        <v>0</v>
      </c>
      <c r="L10" s="30">
        <f t="shared" si="5"/>
        <v>0</v>
      </c>
      <c r="M10" s="30">
        <f t="shared" si="5"/>
        <v>0</v>
      </c>
      <c r="N10" s="30">
        <f t="shared" si="5"/>
        <v>0</v>
      </c>
      <c r="O10" s="30">
        <f t="shared" si="5"/>
        <v>0</v>
      </c>
      <c r="P10" s="30">
        <f t="shared" si="5"/>
        <v>0</v>
      </c>
      <c r="Q10" s="30">
        <f t="shared" si="5"/>
        <v>0</v>
      </c>
      <c r="R10" s="32">
        <f>AVERAGE(E10:Q10)</f>
        <v>0.19267661538461536</v>
      </c>
      <c r="S10" s="21"/>
      <c r="T10" s="21"/>
      <c r="U10" s="21"/>
      <c r="V10" s="21"/>
      <c r="W10" s="21"/>
      <c r="X10" s="21"/>
      <c r="Y10" s="21"/>
      <c r="Z10" s="21"/>
      <c r="AA10" s="21"/>
    </row>
    <row r="11" spans="1:27" ht="15.75" thickBot="1" x14ac:dyDescent="0.3">
      <c r="B11" s="1"/>
      <c r="D11" s="48" t="s">
        <v>63</v>
      </c>
      <c r="E11" s="35"/>
      <c r="F11" s="41"/>
      <c r="G11" s="41"/>
      <c r="H11" s="41"/>
      <c r="I11" s="41"/>
      <c r="J11" s="41"/>
      <c r="K11" s="41"/>
      <c r="L11" s="41"/>
      <c r="M11" s="41"/>
      <c r="N11" s="46" t="s">
        <v>100</v>
      </c>
      <c r="O11" s="41"/>
      <c r="P11" s="41"/>
      <c r="Q11" s="41"/>
      <c r="R11" s="42"/>
      <c r="S11" s="21"/>
      <c r="T11" s="21"/>
      <c r="U11" s="67"/>
      <c r="V11" s="81" t="s">
        <v>109</v>
      </c>
      <c r="W11" s="21"/>
      <c r="X11" s="21"/>
      <c r="Y11" s="21"/>
      <c r="Z11" s="21"/>
      <c r="AA11" s="21"/>
    </row>
    <row r="12" spans="1:27" x14ac:dyDescent="0.25">
      <c r="B12" s="1"/>
      <c r="C12" s="1"/>
      <c r="D12" s="72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81"/>
      <c r="W12" s="81"/>
      <c r="X12" s="21"/>
      <c r="Y12" s="21"/>
      <c r="Z12" s="21"/>
      <c r="AA12" s="21"/>
    </row>
    <row r="13" spans="1:27" x14ac:dyDescent="0.25">
      <c r="B13" s="1"/>
      <c r="C13" s="15" t="s">
        <v>37</v>
      </c>
      <c r="F13" s="15" t="s">
        <v>72</v>
      </c>
      <c r="H13" s="1" t="s">
        <v>40</v>
      </c>
    </row>
    <row r="14" spans="1:27" x14ac:dyDescent="0.25">
      <c r="C14" s="1" t="s">
        <v>30</v>
      </c>
      <c r="D14" s="1" t="s">
        <v>30</v>
      </c>
      <c r="E14" s="1" t="s">
        <v>30</v>
      </c>
      <c r="F14" s="82">
        <v>0.25</v>
      </c>
      <c r="G14" s="1" t="s">
        <v>38</v>
      </c>
      <c r="H14" s="1" t="s">
        <v>39</v>
      </c>
    </row>
    <row r="15" spans="1:27" x14ac:dyDescent="0.25">
      <c r="A15" s="1" t="s">
        <v>1</v>
      </c>
      <c r="B15" s="4" t="s">
        <v>2</v>
      </c>
      <c r="C15" s="1" t="s">
        <v>31</v>
      </c>
      <c r="D15" s="1" t="s">
        <v>32</v>
      </c>
      <c r="E15" s="1" t="s">
        <v>34</v>
      </c>
      <c r="F15" s="1" t="s">
        <v>36</v>
      </c>
      <c r="G15" s="1" t="s">
        <v>32</v>
      </c>
      <c r="H15" s="1" t="s">
        <v>32</v>
      </c>
      <c r="L15" s="68"/>
      <c r="M15" s="69"/>
      <c r="N15" s="70"/>
      <c r="O15" s="68"/>
      <c r="P15" s="70" t="s">
        <v>126</v>
      </c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</row>
    <row r="16" spans="1:27" x14ac:dyDescent="0.25">
      <c r="A16" s="1" t="s">
        <v>13</v>
      </c>
      <c r="B16" s="52">
        <v>301048</v>
      </c>
      <c r="C16" s="52">
        <f>B16</f>
        <v>301048</v>
      </c>
      <c r="M16" s="56" t="s">
        <v>77</v>
      </c>
      <c r="N16" s="56" t="s">
        <v>80</v>
      </c>
      <c r="O16" s="56" t="s">
        <v>120</v>
      </c>
      <c r="P16" s="56" t="s">
        <v>122</v>
      </c>
      <c r="Q16" s="56" t="s">
        <v>116</v>
      </c>
      <c r="R16" s="56" t="s">
        <v>131</v>
      </c>
      <c r="S16" s="56" t="s">
        <v>117</v>
      </c>
      <c r="T16" s="56" t="s">
        <v>128</v>
      </c>
      <c r="U16" s="56" t="s">
        <v>129</v>
      </c>
      <c r="V16" s="56" t="s">
        <v>130</v>
      </c>
    </row>
    <row r="17" spans="1:22" x14ac:dyDescent="0.25">
      <c r="A17" s="1" t="s">
        <v>8</v>
      </c>
      <c r="B17" s="52">
        <v>1704000</v>
      </c>
      <c r="C17" s="52">
        <f>B17</f>
        <v>1704000</v>
      </c>
      <c r="M17" s="57" t="s">
        <v>78</v>
      </c>
      <c r="N17" s="58">
        <v>3000</v>
      </c>
      <c r="O17" s="7">
        <f t="shared" ref="O17:O27" si="6">N17/$N$29</f>
        <v>0.26881720430107525</v>
      </c>
      <c r="P17" s="77">
        <v>45000</v>
      </c>
      <c r="Q17" s="58">
        <v>3300</v>
      </c>
      <c r="R17" s="80">
        <f>0.000013*Q17</f>
        <v>4.2900000000000001E-2</v>
      </c>
      <c r="S17" s="14">
        <f t="shared" ref="S17:S27" si="7">1/R17</f>
        <v>23.310023310023311</v>
      </c>
      <c r="T17" s="6">
        <f t="shared" ref="T17:T27" si="8">N17*P17</f>
        <v>135000000</v>
      </c>
      <c r="U17" s="2">
        <f t="shared" ref="U17:U27" si="9">N17*Q17</f>
        <v>9900000</v>
      </c>
      <c r="V17" s="2">
        <f t="shared" ref="V17:V27" si="10">N17*R17</f>
        <v>128.69999999999999</v>
      </c>
    </row>
    <row r="18" spans="1:22" x14ac:dyDescent="0.25">
      <c r="A18" s="1" t="s">
        <v>22</v>
      </c>
      <c r="B18" s="52">
        <v>135909</v>
      </c>
      <c r="C18" s="52">
        <f>B18</f>
        <v>135909</v>
      </c>
      <c r="M18" s="57" t="s">
        <v>83</v>
      </c>
      <c r="N18" s="58">
        <v>1000</v>
      </c>
      <c r="O18" s="7">
        <f t="shared" si="6"/>
        <v>8.9605734767025089E-2</v>
      </c>
      <c r="P18" s="77">
        <v>25000</v>
      </c>
      <c r="Q18" s="58">
        <v>3000</v>
      </c>
      <c r="R18" s="80">
        <f t="shared" ref="R18:R27" si="11">0.000013*Q18</f>
        <v>3.9E-2</v>
      </c>
      <c r="S18" s="14">
        <f t="shared" si="7"/>
        <v>25.641025641025642</v>
      </c>
      <c r="T18" s="6">
        <f t="shared" si="8"/>
        <v>25000000</v>
      </c>
      <c r="U18" s="2">
        <f t="shared" si="9"/>
        <v>3000000</v>
      </c>
      <c r="V18" s="2">
        <f t="shared" si="10"/>
        <v>39</v>
      </c>
    </row>
    <row r="19" spans="1:22" x14ac:dyDescent="0.25">
      <c r="A19" s="1" t="s">
        <v>23</v>
      </c>
      <c r="B19" s="54">
        <v>0.81640000000000001</v>
      </c>
      <c r="C19" s="54">
        <f>B19</f>
        <v>0.81640000000000001</v>
      </c>
      <c r="M19" s="57" t="s">
        <v>84</v>
      </c>
      <c r="N19" s="58">
        <v>3000</v>
      </c>
      <c r="O19" s="7">
        <f t="shared" si="6"/>
        <v>0.26881720430107525</v>
      </c>
      <c r="P19" s="77">
        <v>25000</v>
      </c>
      <c r="Q19" s="58">
        <v>2600</v>
      </c>
      <c r="R19" s="80">
        <f t="shared" si="11"/>
        <v>3.3799999999999997E-2</v>
      </c>
      <c r="S19" s="14">
        <f t="shared" si="7"/>
        <v>29.585798816568051</v>
      </c>
      <c r="T19" s="6">
        <f t="shared" si="8"/>
        <v>75000000</v>
      </c>
      <c r="U19" s="2">
        <f t="shared" si="9"/>
        <v>7800000</v>
      </c>
      <c r="V19" s="2">
        <f t="shared" si="10"/>
        <v>101.39999999999999</v>
      </c>
    </row>
    <row r="20" spans="1:22" x14ac:dyDescent="0.25">
      <c r="A20" s="1" t="s">
        <v>45</v>
      </c>
      <c r="B20" s="2">
        <f>B18*B19</f>
        <v>110956.1076</v>
      </c>
      <c r="C20" s="2">
        <f>C27/B27*B20</f>
        <v>47711.126268000007</v>
      </c>
      <c r="D20" s="2">
        <f>B20-C20</f>
        <v>63244.981331999996</v>
      </c>
      <c r="E20" s="7">
        <f>D20/B20</f>
        <v>0.56999999999999995</v>
      </c>
      <c r="F20" s="2">
        <f>F14*C20</f>
        <v>11927.781567000002</v>
      </c>
      <c r="G20" s="5">
        <f>F20/C20</f>
        <v>0.25</v>
      </c>
      <c r="H20" s="2">
        <f>B20-F20</f>
        <v>99028.326033000005</v>
      </c>
      <c r="M20" s="57" t="s">
        <v>85</v>
      </c>
      <c r="N20" s="58">
        <v>2000</v>
      </c>
      <c r="O20" s="7">
        <f t="shared" si="6"/>
        <v>0.17921146953405018</v>
      </c>
      <c r="P20" s="77">
        <v>20000</v>
      </c>
      <c r="Q20" s="58">
        <v>2300</v>
      </c>
      <c r="R20" s="80">
        <f t="shared" si="11"/>
        <v>2.9899999999999999E-2</v>
      </c>
      <c r="S20" s="14">
        <f t="shared" si="7"/>
        <v>33.444816053511708</v>
      </c>
      <c r="T20" s="6">
        <f t="shared" si="8"/>
        <v>40000000</v>
      </c>
      <c r="U20" s="2">
        <f t="shared" si="9"/>
        <v>4600000</v>
      </c>
      <c r="V20" s="2">
        <f t="shared" si="10"/>
        <v>59.8</v>
      </c>
    </row>
    <row r="21" spans="1:22" x14ac:dyDescent="0.25">
      <c r="A21" s="1" t="s">
        <v>24</v>
      </c>
      <c r="B21" s="7">
        <f>B20/B16</f>
        <v>0.36856616752145838</v>
      </c>
      <c r="C21" s="5">
        <f t="shared" ref="C21:C26" si="12">B21</f>
        <v>0.36856616752145838</v>
      </c>
      <c r="M21" s="57" t="s">
        <v>86</v>
      </c>
      <c r="N21" s="58">
        <v>1000</v>
      </c>
      <c r="O21" s="7">
        <f t="shared" si="6"/>
        <v>8.9605734767025089E-2</v>
      </c>
      <c r="P21" s="77">
        <v>22000</v>
      </c>
      <c r="Q21" s="58">
        <v>2500</v>
      </c>
      <c r="R21" s="80">
        <f t="shared" si="11"/>
        <v>3.2500000000000001E-2</v>
      </c>
      <c r="S21" s="14">
        <f t="shared" si="7"/>
        <v>30.769230769230766</v>
      </c>
      <c r="T21" s="6">
        <f t="shared" si="8"/>
        <v>22000000</v>
      </c>
      <c r="U21" s="2">
        <f t="shared" si="9"/>
        <v>2500000</v>
      </c>
      <c r="V21" s="2">
        <f t="shared" si="10"/>
        <v>32.5</v>
      </c>
    </row>
    <row r="22" spans="1:22" x14ac:dyDescent="0.25">
      <c r="A22" s="1" t="s">
        <v>21</v>
      </c>
      <c r="B22" s="7">
        <f>B20/B17</f>
        <v>6.5115086619718307E-2</v>
      </c>
      <c r="C22" s="5">
        <f t="shared" si="12"/>
        <v>6.5115086619718307E-2</v>
      </c>
      <c r="M22" s="57" t="s">
        <v>79</v>
      </c>
      <c r="N22" s="58">
        <v>500</v>
      </c>
      <c r="O22" s="7">
        <f t="shared" si="6"/>
        <v>4.4802867383512544E-2</v>
      </c>
      <c r="P22" s="77">
        <v>50000</v>
      </c>
      <c r="Q22" s="58">
        <v>6000</v>
      </c>
      <c r="R22" s="80">
        <f t="shared" si="11"/>
        <v>7.8E-2</v>
      </c>
      <c r="S22" s="14">
        <f t="shared" si="7"/>
        <v>12.820512820512821</v>
      </c>
      <c r="T22" s="6">
        <f t="shared" si="8"/>
        <v>25000000</v>
      </c>
      <c r="U22" s="2">
        <f t="shared" si="9"/>
        <v>3000000</v>
      </c>
      <c r="V22" s="2">
        <f t="shared" si="10"/>
        <v>39</v>
      </c>
    </row>
    <row r="23" spans="1:22" x14ac:dyDescent="0.25">
      <c r="A23" s="1" t="s">
        <v>12</v>
      </c>
      <c r="B23" s="73">
        <v>36718</v>
      </c>
      <c r="C23" s="6">
        <f t="shared" si="12"/>
        <v>36718</v>
      </c>
      <c r="F23" s="3">
        <f>C23</f>
        <v>36718</v>
      </c>
      <c r="J23" s="1" t="s">
        <v>138</v>
      </c>
      <c r="M23" s="57" t="s">
        <v>81</v>
      </c>
      <c r="N23" s="58">
        <v>500</v>
      </c>
      <c r="O23" s="7">
        <f t="shared" si="6"/>
        <v>4.4802867383512544E-2</v>
      </c>
      <c r="P23" s="77">
        <v>35000</v>
      </c>
      <c r="Q23" s="58">
        <v>4500</v>
      </c>
      <c r="R23" s="80">
        <f t="shared" si="11"/>
        <v>5.8499999999999996E-2</v>
      </c>
      <c r="S23" s="14">
        <f t="shared" si="7"/>
        <v>17.094017094017094</v>
      </c>
      <c r="T23" s="6">
        <f t="shared" si="8"/>
        <v>17500000</v>
      </c>
      <c r="U23" s="2">
        <f t="shared" si="9"/>
        <v>2250000</v>
      </c>
      <c r="V23" s="2">
        <f t="shared" si="10"/>
        <v>29.25</v>
      </c>
    </row>
    <row r="24" spans="1:22" ht="15.75" thickBot="1" x14ac:dyDescent="0.3">
      <c r="A24" s="1" t="s">
        <v>125</v>
      </c>
      <c r="B24" s="58">
        <v>3500</v>
      </c>
      <c r="C24" s="2">
        <f t="shared" si="12"/>
        <v>3500</v>
      </c>
      <c r="F24" s="2">
        <f>C24</f>
        <v>3500</v>
      </c>
      <c r="J24" s="1"/>
      <c r="M24" s="57" t="s">
        <v>82</v>
      </c>
      <c r="N24" s="58">
        <v>100</v>
      </c>
      <c r="O24" s="7">
        <f t="shared" si="6"/>
        <v>8.9605734767025085E-3</v>
      </c>
      <c r="P24" s="77">
        <v>35000</v>
      </c>
      <c r="Q24" s="58">
        <v>5000</v>
      </c>
      <c r="R24" s="80">
        <f t="shared" si="11"/>
        <v>6.5000000000000002E-2</v>
      </c>
      <c r="S24" s="14">
        <f t="shared" si="7"/>
        <v>15.384615384615383</v>
      </c>
      <c r="T24" s="6">
        <f t="shared" si="8"/>
        <v>3500000</v>
      </c>
      <c r="U24" s="2">
        <f t="shared" si="9"/>
        <v>500000</v>
      </c>
      <c r="V24" s="2">
        <f t="shared" si="10"/>
        <v>6.5</v>
      </c>
    </row>
    <row r="25" spans="1:22" ht="15.75" thickBot="1" x14ac:dyDescent="0.3">
      <c r="A25" s="1" t="s">
        <v>9</v>
      </c>
      <c r="B25" s="75">
        <v>25</v>
      </c>
      <c r="C25" s="14">
        <f t="shared" si="12"/>
        <v>25</v>
      </c>
      <c r="F25" s="14">
        <f>C25</f>
        <v>25</v>
      </c>
      <c r="H25" s="84"/>
      <c r="I25" s="85" t="s">
        <v>140</v>
      </c>
      <c r="J25" s="86"/>
      <c r="K25" s="87"/>
      <c r="M25" s="57" t="s">
        <v>87</v>
      </c>
      <c r="N25" s="58">
        <v>20</v>
      </c>
      <c r="O25" s="79">
        <f t="shared" si="6"/>
        <v>1.7921146953405018E-3</v>
      </c>
      <c r="P25" s="77">
        <v>45000</v>
      </c>
      <c r="Q25" s="58">
        <v>8800</v>
      </c>
      <c r="R25" s="80">
        <f t="shared" si="11"/>
        <v>0.11439999999999999</v>
      </c>
      <c r="S25" s="14">
        <f t="shared" si="7"/>
        <v>8.7412587412587417</v>
      </c>
      <c r="T25" s="6">
        <f t="shared" si="8"/>
        <v>900000</v>
      </c>
      <c r="U25" s="2">
        <f t="shared" si="9"/>
        <v>176000</v>
      </c>
      <c r="V25" s="2">
        <f t="shared" si="10"/>
        <v>2.2879999999999998</v>
      </c>
    </row>
    <row r="26" spans="1:22" x14ac:dyDescent="0.25">
      <c r="A26" s="1" t="s">
        <v>25</v>
      </c>
      <c r="B26" s="53">
        <v>30</v>
      </c>
      <c r="C26" s="14">
        <f t="shared" si="12"/>
        <v>30</v>
      </c>
      <c r="D26" s="78" t="s">
        <v>139</v>
      </c>
      <c r="F26" s="14">
        <f>C26</f>
        <v>30</v>
      </c>
      <c r="M26" s="57" t="s">
        <v>88</v>
      </c>
      <c r="N26" s="58">
        <v>20</v>
      </c>
      <c r="O26" s="79">
        <f t="shared" si="6"/>
        <v>1.7921146953405018E-3</v>
      </c>
      <c r="P26" s="77">
        <v>35000</v>
      </c>
      <c r="Q26" s="58">
        <v>5000</v>
      </c>
      <c r="R26" s="80">
        <f t="shared" si="11"/>
        <v>6.5000000000000002E-2</v>
      </c>
      <c r="S26" s="14">
        <f t="shared" si="7"/>
        <v>15.384615384615383</v>
      </c>
      <c r="T26" s="6">
        <f t="shared" si="8"/>
        <v>700000</v>
      </c>
      <c r="U26" s="2">
        <f t="shared" si="9"/>
        <v>100000</v>
      </c>
      <c r="V26" s="2">
        <f t="shared" si="10"/>
        <v>1.3</v>
      </c>
    </row>
    <row r="27" spans="1:22" x14ac:dyDescent="0.25">
      <c r="A27" s="1" t="s">
        <v>26</v>
      </c>
      <c r="B27" s="8">
        <f>B32/B26</f>
        <v>1.2306849315068493</v>
      </c>
      <c r="C27" s="8">
        <f>C32/B26</f>
        <v>0.52919452054794525</v>
      </c>
      <c r="D27" s="11">
        <f>B27-C27</f>
        <v>0.70149041095890408</v>
      </c>
      <c r="E27" s="7">
        <f>D27/B27</f>
        <v>0.56999999999999995</v>
      </c>
      <c r="F27" s="13">
        <f>D27/G20</f>
        <v>2.8059616438356163</v>
      </c>
      <c r="I27" s="49" t="s">
        <v>64</v>
      </c>
      <c r="J27" s="49" t="s">
        <v>32</v>
      </c>
      <c r="M27" s="57" t="s">
        <v>89</v>
      </c>
      <c r="N27" s="58">
        <v>20</v>
      </c>
      <c r="O27" s="79">
        <f t="shared" si="6"/>
        <v>1.7921146953405018E-3</v>
      </c>
      <c r="P27" s="77">
        <v>35000</v>
      </c>
      <c r="Q27" s="58">
        <v>9000</v>
      </c>
      <c r="R27" s="80">
        <f t="shared" si="11"/>
        <v>0.11699999999999999</v>
      </c>
      <c r="S27" s="14">
        <f t="shared" si="7"/>
        <v>8.5470085470085468</v>
      </c>
      <c r="T27" s="6">
        <f t="shared" si="8"/>
        <v>700000</v>
      </c>
      <c r="U27" s="2">
        <f t="shared" si="9"/>
        <v>180000</v>
      </c>
      <c r="V27" s="2">
        <f t="shared" si="10"/>
        <v>2.34</v>
      </c>
    </row>
    <row r="28" spans="1:22" x14ac:dyDescent="0.25">
      <c r="A28" s="1" t="s">
        <v>19</v>
      </c>
      <c r="B28" s="3">
        <f>B20*B23</f>
        <v>4074086358.8568001</v>
      </c>
      <c r="C28" s="3">
        <f>C20*C23</f>
        <v>1751857134.3084242</v>
      </c>
      <c r="D28" s="3">
        <f>B28-C28</f>
        <v>2322229224.5483761</v>
      </c>
      <c r="E28" s="7">
        <f>D28/B28</f>
        <v>0.57000000000000006</v>
      </c>
      <c r="F28" s="3">
        <f>F20*F23</f>
        <v>437964283.57710606</v>
      </c>
      <c r="G28" s="7">
        <f>F28/C28</f>
        <v>0.25</v>
      </c>
      <c r="H28" s="9">
        <f>B28-F28</f>
        <v>3636122075.2796941</v>
      </c>
      <c r="I28" s="3">
        <f>(B28-H28)/B20</f>
        <v>3947.1849999999999</v>
      </c>
      <c r="J28" s="7">
        <f>(B23-I28)/B23</f>
        <v>0.89250000000000007</v>
      </c>
      <c r="N28" s="1" t="s">
        <v>113</v>
      </c>
      <c r="O28" s="1" t="s">
        <v>39</v>
      </c>
      <c r="P28" s="1" t="s">
        <v>122</v>
      </c>
      <c r="Q28" s="1" t="s">
        <v>121</v>
      </c>
      <c r="R28" s="1" t="s">
        <v>117</v>
      </c>
      <c r="T28" s="1"/>
    </row>
    <row r="29" spans="1:22" x14ac:dyDescent="0.25">
      <c r="A29" s="1" t="s">
        <v>15</v>
      </c>
      <c r="B29" s="23" t="s">
        <v>42</v>
      </c>
      <c r="C29" s="54" t="str">
        <f>B29</f>
        <v>See Schedule</v>
      </c>
      <c r="D29" s="76"/>
      <c r="E29" s="76"/>
      <c r="F29" s="54" t="s">
        <v>66</v>
      </c>
      <c r="G29" s="76"/>
      <c r="H29" s="76"/>
      <c r="I29" s="76"/>
      <c r="J29" s="76"/>
      <c r="M29" s="57" t="s">
        <v>133</v>
      </c>
      <c r="N29" s="2">
        <f>SUM(N17:N27)</f>
        <v>11160</v>
      </c>
      <c r="O29" s="7">
        <f>SUM(O17:O27)</f>
        <v>1</v>
      </c>
      <c r="P29" s="6">
        <f>T29/N29</f>
        <v>30940.860215053763</v>
      </c>
      <c r="Q29" s="2">
        <f>U29/N29</f>
        <v>3047.1326164874554</v>
      </c>
      <c r="R29" s="2">
        <f>1/(V29/N29)</f>
        <v>25.244413881713182</v>
      </c>
      <c r="T29" s="6">
        <f>SUM(T17:T27)</f>
        <v>345300000</v>
      </c>
      <c r="U29" s="2">
        <f>SUM(U17:U27)</f>
        <v>34006000</v>
      </c>
      <c r="V29" s="2">
        <f>SUM(V17:V27)</f>
        <v>442.07799999999997</v>
      </c>
    </row>
    <row r="30" spans="1:22" x14ac:dyDescent="0.25">
      <c r="A30" s="1" t="s">
        <v>14</v>
      </c>
      <c r="B30" s="5">
        <f>R3</f>
        <v>0.42882389450823705</v>
      </c>
      <c r="C30" s="5">
        <f>B30</f>
        <v>0.42882389450823705</v>
      </c>
      <c r="F30" s="5">
        <f>C30</f>
        <v>0.42882389450823705</v>
      </c>
      <c r="N30" s="1" t="s">
        <v>112</v>
      </c>
      <c r="O30" s="1" t="s">
        <v>127</v>
      </c>
      <c r="P30" s="57" t="s">
        <v>123</v>
      </c>
      <c r="Q30" s="1" t="s">
        <v>115</v>
      </c>
      <c r="R30" s="78" t="s">
        <v>118</v>
      </c>
    </row>
    <row r="31" spans="1:22" x14ac:dyDescent="0.25">
      <c r="A31" s="1" t="s">
        <v>20</v>
      </c>
      <c r="B31" s="6">
        <f>B30*B28</f>
        <v>1747065578.9678559</v>
      </c>
      <c r="C31" s="6">
        <f>C30*C28</f>
        <v>751238198.95617819</v>
      </c>
      <c r="D31" s="3">
        <f>B31-C31</f>
        <v>995827380.01167774</v>
      </c>
      <c r="E31" s="7">
        <f>D31/B31</f>
        <v>0.56999999999999995</v>
      </c>
      <c r="G31" s="1" t="s">
        <v>67</v>
      </c>
      <c r="H31" t="s">
        <v>68</v>
      </c>
      <c r="I31" s="49" t="s">
        <v>69</v>
      </c>
      <c r="J31" s="49" t="s">
        <v>70</v>
      </c>
      <c r="M31" s="57" t="s">
        <v>134</v>
      </c>
      <c r="N31" s="2">
        <f>F20</f>
        <v>11927.781567000002</v>
      </c>
      <c r="O31" s="5">
        <f>AVERAGE(O17:O27)</f>
        <v>9.0909090909090912E-2</v>
      </c>
      <c r="P31" s="6">
        <f>B23</f>
        <v>36718</v>
      </c>
      <c r="Q31" s="2">
        <f>B24</f>
        <v>3500</v>
      </c>
      <c r="R31" s="2">
        <f>B25</f>
        <v>25</v>
      </c>
    </row>
    <row r="32" spans="1:22" x14ac:dyDescent="0.25">
      <c r="A32" s="1" t="s">
        <v>10</v>
      </c>
      <c r="B32" s="8">
        <f>B35/365</f>
        <v>36.920547945205477</v>
      </c>
      <c r="C32" s="8">
        <f>B32-B34</f>
        <v>15.875835616438358</v>
      </c>
      <c r="D32" s="12">
        <f>B32-C32</f>
        <v>21.044712328767119</v>
      </c>
      <c r="E32" s="7">
        <f>D32/B32</f>
        <v>0.56999999999999995</v>
      </c>
      <c r="F32" s="8">
        <f>C32/F14</f>
        <v>63.503342465753434</v>
      </c>
      <c r="G32" s="7">
        <f>(C32-F32)/C32</f>
        <v>-3</v>
      </c>
      <c r="H32" s="8">
        <f>B32-F32</f>
        <v>-26.582794520547957</v>
      </c>
      <c r="I32" s="5">
        <f>H32/B32</f>
        <v>-0.72000000000000031</v>
      </c>
      <c r="J32" s="7">
        <f>F32/(70000/365)</f>
        <v>0.33112457142857149</v>
      </c>
      <c r="N32" s="1" t="s">
        <v>90</v>
      </c>
      <c r="O32" t="s">
        <v>132</v>
      </c>
      <c r="P32" s="1" t="s">
        <v>114</v>
      </c>
      <c r="Q32" s="1" t="s">
        <v>124</v>
      </c>
      <c r="R32" s="78" t="s">
        <v>119</v>
      </c>
    </row>
    <row r="33" spans="1:24" x14ac:dyDescent="0.25">
      <c r="A33" s="1" t="s">
        <v>28</v>
      </c>
      <c r="B33" s="23">
        <v>0.56999999999999995</v>
      </c>
      <c r="C33" s="83">
        <v>0</v>
      </c>
      <c r="M33" s="57" t="s">
        <v>135</v>
      </c>
      <c r="N33" s="5">
        <f>N29/N31</f>
        <v>0.93563081594953212</v>
      </c>
      <c r="O33" s="2">
        <f>O31*N31</f>
        <v>1084.343778818182</v>
      </c>
      <c r="P33" s="5">
        <f>P29/P31</f>
        <v>0.84266191554697323</v>
      </c>
      <c r="Q33" s="5">
        <f>Q29/Q31</f>
        <v>0.8706093189964158</v>
      </c>
      <c r="R33" s="5">
        <f>R29/R31</f>
        <v>1.0097765552685274</v>
      </c>
    </row>
    <row r="34" spans="1:24" x14ac:dyDescent="0.25">
      <c r="A34" s="1" t="s">
        <v>29</v>
      </c>
      <c r="B34" s="8">
        <f>B33*B32</f>
        <v>21.044712328767119</v>
      </c>
      <c r="C34" s="8">
        <f>C33*C32</f>
        <v>0</v>
      </c>
    </row>
    <row r="35" spans="1:24" x14ac:dyDescent="0.25">
      <c r="A35" s="1" t="s">
        <v>11</v>
      </c>
      <c r="B35" s="58">
        <v>13476</v>
      </c>
      <c r="C35" s="2">
        <f>C32/B32*B35</f>
        <v>5794.6800000000012</v>
      </c>
      <c r="F35" s="2">
        <f>F32*365</f>
        <v>23178.720000000005</v>
      </c>
    </row>
    <row r="36" spans="1:24" x14ac:dyDescent="0.25">
      <c r="A36" s="1" t="s">
        <v>3</v>
      </c>
      <c r="B36" s="2">
        <f>B32*B20</f>
        <v>4096560.2904591779</v>
      </c>
      <c r="C36" s="2">
        <f>C32*C20</f>
        <v>757453.99770590221</v>
      </c>
      <c r="F36" s="2">
        <f>F32*F20</f>
        <v>757453.99770590221</v>
      </c>
      <c r="L36" s="68"/>
      <c r="M36" s="68"/>
      <c r="N36" s="71"/>
      <c r="O36" s="71" t="s">
        <v>101</v>
      </c>
      <c r="P36" s="68"/>
      <c r="Q36" s="68"/>
      <c r="R36" s="68"/>
      <c r="S36" s="68"/>
      <c r="T36" s="68"/>
      <c r="U36" s="68"/>
      <c r="V36" s="68"/>
      <c r="W36" s="68"/>
      <c r="X36" s="68"/>
    </row>
    <row r="37" spans="1:24" x14ac:dyDescent="0.25">
      <c r="A37" s="1" t="s">
        <v>18</v>
      </c>
      <c r="B37" s="2">
        <f>B36*365</f>
        <v>1495244506.0176001</v>
      </c>
      <c r="C37" s="2">
        <f>C36*365</f>
        <v>276470709.16265428</v>
      </c>
      <c r="F37" s="2">
        <f>F36*365</f>
        <v>276470709.16265428</v>
      </c>
      <c r="N37" s="59" t="s">
        <v>91</v>
      </c>
      <c r="O37" s="3">
        <f>I28/10</f>
        <v>394.71850000000001</v>
      </c>
    </row>
    <row r="38" spans="1:24" x14ac:dyDescent="0.25">
      <c r="A38" s="1" t="s">
        <v>4</v>
      </c>
      <c r="B38" s="2">
        <f>B37/B25</f>
        <v>59809780.240704</v>
      </c>
      <c r="C38" s="2">
        <f>C37/B25</f>
        <v>11058828.36650617</v>
      </c>
      <c r="F38" s="2">
        <f>F37/F25</f>
        <v>11058828.36650617</v>
      </c>
      <c r="N38" s="59" t="s">
        <v>97</v>
      </c>
      <c r="O38" s="61">
        <f>O37/12</f>
        <v>32.893208333333334</v>
      </c>
      <c r="P38" t="s">
        <v>104</v>
      </c>
    </row>
    <row r="39" spans="1:24" x14ac:dyDescent="0.25">
      <c r="A39" s="1" t="s">
        <v>27</v>
      </c>
      <c r="B39" s="2">
        <f>B38/365</f>
        <v>163862.41161836713</v>
      </c>
      <c r="C39" s="2">
        <f>C38/365</f>
        <v>30298.159908236084</v>
      </c>
      <c r="F39" s="2">
        <f>F38/365</f>
        <v>30298.159908236084</v>
      </c>
      <c r="H39" t="s">
        <v>141</v>
      </c>
      <c r="N39" s="57" t="s">
        <v>92</v>
      </c>
      <c r="O39" s="3">
        <f>F43*(1-I44)</f>
        <v>529.75862400000005</v>
      </c>
    </row>
    <row r="40" spans="1:24" x14ac:dyDescent="0.25">
      <c r="A40" s="1" t="s">
        <v>17</v>
      </c>
      <c r="B40" s="1">
        <v>4.5</v>
      </c>
      <c r="C40" s="1">
        <v>4.5</v>
      </c>
      <c r="D40" s="1" t="s">
        <v>55</v>
      </c>
      <c r="E40" t="s">
        <v>56</v>
      </c>
      <c r="F40" s="1">
        <v>4.5</v>
      </c>
      <c r="G40" t="s">
        <v>57</v>
      </c>
      <c r="N40" s="59" t="s">
        <v>98</v>
      </c>
      <c r="O40" s="61">
        <f>O39/12</f>
        <v>44.146552000000007</v>
      </c>
      <c r="P40" t="s">
        <v>105</v>
      </c>
    </row>
    <row r="41" spans="1:24" x14ac:dyDescent="0.25">
      <c r="A41" s="1" t="s">
        <v>5</v>
      </c>
      <c r="B41" s="2">
        <f>B38*B40/365</f>
        <v>737380.85228265217</v>
      </c>
      <c r="C41" s="2">
        <f>C38*C40/365</f>
        <v>136341.71958706237</v>
      </c>
      <c r="D41" s="2">
        <f>B41-C41</f>
        <v>601039.1326955898</v>
      </c>
      <c r="E41" s="7">
        <f>D41/B41</f>
        <v>0.81510000000000005</v>
      </c>
      <c r="F41" s="2">
        <f>F38*F40/365</f>
        <v>136341.71958706237</v>
      </c>
      <c r="G41" s="5">
        <f>(F41-C41)/C41</f>
        <v>0</v>
      </c>
      <c r="H41" s="55" t="s">
        <v>75</v>
      </c>
      <c r="N41" s="57" t="s">
        <v>94</v>
      </c>
      <c r="O41" s="2">
        <f>F38/12</f>
        <v>921569.03054218087</v>
      </c>
    </row>
    <row r="42" spans="1:24" x14ac:dyDescent="0.25">
      <c r="A42" s="1" t="s">
        <v>6</v>
      </c>
      <c r="B42" s="1">
        <v>12</v>
      </c>
      <c r="C42" s="1">
        <v>12</v>
      </c>
      <c r="F42" s="1">
        <v>12</v>
      </c>
      <c r="H42" s="55" t="s">
        <v>76</v>
      </c>
      <c r="N42" s="1" t="s">
        <v>93</v>
      </c>
      <c r="O42" s="60">
        <v>2.4</v>
      </c>
    </row>
    <row r="43" spans="1:24" x14ac:dyDescent="0.25">
      <c r="A43" s="1" t="s">
        <v>16</v>
      </c>
      <c r="B43" s="73">
        <v>408</v>
      </c>
      <c r="C43" s="51">
        <f>B43</f>
        <v>408</v>
      </c>
      <c r="D43" s="1" t="s">
        <v>48</v>
      </c>
      <c r="E43" s="1" t="s">
        <v>49</v>
      </c>
      <c r="F43" s="51">
        <f>B43*R9/R4</f>
        <v>701.76</v>
      </c>
      <c r="G43" s="1" t="s">
        <v>50</v>
      </c>
      <c r="H43" s="1" t="s">
        <v>51</v>
      </c>
      <c r="I43" s="50" t="s">
        <v>65</v>
      </c>
      <c r="N43" s="57" t="s">
        <v>95</v>
      </c>
      <c r="O43" s="3">
        <f>O42*O41</f>
        <v>2211765.6733012339</v>
      </c>
    </row>
    <row r="44" spans="1:24" x14ac:dyDescent="0.25">
      <c r="A44" s="1" t="s">
        <v>7</v>
      </c>
      <c r="B44" s="3">
        <f>B43*B20</f>
        <v>45270091.900800005</v>
      </c>
      <c r="C44" s="3">
        <f>C43*C20</f>
        <v>19466139.517344002</v>
      </c>
      <c r="D44" s="3">
        <f>B44-C44</f>
        <v>25803952.383456003</v>
      </c>
      <c r="E44" s="7">
        <f>D44/B44</f>
        <v>0.56999999999999995</v>
      </c>
      <c r="F44" s="3">
        <f>F43*F20</f>
        <v>8370439.9924579216</v>
      </c>
      <c r="G44" s="3">
        <f>C44-F44</f>
        <v>11095699.524886079</v>
      </c>
      <c r="H44" s="3">
        <f>B44-G44</f>
        <v>34174392.375913925</v>
      </c>
      <c r="I44" s="7">
        <f>(B44-H44)/B44</f>
        <v>0.24509999999999996</v>
      </c>
      <c r="N44" s="57" t="s">
        <v>96</v>
      </c>
      <c r="O44" s="61">
        <f>O43/B20</f>
        <v>19.9336992</v>
      </c>
      <c r="P44" t="s">
        <v>106</v>
      </c>
    </row>
    <row r="45" spans="1:24" x14ac:dyDescent="0.25">
      <c r="A45" s="1" t="s">
        <v>35</v>
      </c>
      <c r="B45" s="58">
        <v>100511</v>
      </c>
      <c r="C45" s="52">
        <f>B45</f>
        <v>100511</v>
      </c>
      <c r="D45" s="1" t="s">
        <v>47</v>
      </c>
      <c r="E45" s="1" t="s">
        <v>46</v>
      </c>
      <c r="F45" s="52">
        <f>C45</f>
        <v>100511</v>
      </c>
      <c r="G45" t="s">
        <v>52</v>
      </c>
      <c r="H45" t="s">
        <v>53</v>
      </c>
      <c r="I45" s="50" t="s">
        <v>54</v>
      </c>
      <c r="N45" s="62" t="s">
        <v>99</v>
      </c>
      <c r="O45" s="61">
        <f>O38+O40+O44</f>
        <v>96.97345953333334</v>
      </c>
      <c r="P45" t="s">
        <v>107</v>
      </c>
    </row>
    <row r="46" spans="1:24" x14ac:dyDescent="0.25">
      <c r="A46" s="1" t="s">
        <v>33</v>
      </c>
      <c r="B46" s="10">
        <f>B45*B38</f>
        <v>6011540821773.3994</v>
      </c>
      <c r="C46" s="10">
        <f>C45*C38</f>
        <v>1111533897945.9016</v>
      </c>
      <c r="D46" s="10">
        <f>B46-C46</f>
        <v>4900006923827.498</v>
      </c>
      <c r="E46" s="7">
        <f>D46/B46</f>
        <v>0.81510000000000005</v>
      </c>
      <c r="F46" s="10">
        <f>F45*F38</f>
        <v>1111533897945.9016</v>
      </c>
      <c r="G46" s="14">
        <f>C46-F46</f>
        <v>0</v>
      </c>
      <c r="H46" s="2">
        <f>B46-F46</f>
        <v>4900006923827.498</v>
      </c>
      <c r="I46" s="7">
        <f>(B46-F46)/B46</f>
        <v>0.81510000000000005</v>
      </c>
      <c r="O46" s="56" t="s">
        <v>108</v>
      </c>
    </row>
    <row r="47" spans="1:24" x14ac:dyDescent="0.25">
      <c r="H47" s="55" t="s">
        <v>73</v>
      </c>
      <c r="O47" s="6">
        <v>737.41666666666663</v>
      </c>
      <c r="P47" t="s">
        <v>102</v>
      </c>
    </row>
    <row r="48" spans="1:24" x14ac:dyDescent="0.25">
      <c r="H48" s="55" t="s">
        <v>74</v>
      </c>
      <c r="O48" s="63" t="s">
        <v>103</v>
      </c>
    </row>
    <row r="49" spans="1:15" x14ac:dyDescent="0.25">
      <c r="E49" s="56" t="s">
        <v>161</v>
      </c>
      <c r="O49" s="64">
        <f>(O47-O45)/O47</f>
        <v>0.86849570410215848</v>
      </c>
    </row>
    <row r="50" spans="1:15" x14ac:dyDescent="0.25">
      <c r="B50" s="1" t="s">
        <v>144</v>
      </c>
      <c r="C50" s="1" t="s">
        <v>145</v>
      </c>
      <c r="D50" s="1" t="s">
        <v>39</v>
      </c>
      <c r="E50" s="1" t="s">
        <v>146</v>
      </c>
      <c r="F50" s="1" t="s">
        <v>148</v>
      </c>
      <c r="G50" s="1" t="s">
        <v>148</v>
      </c>
      <c r="I50" s="1" t="s">
        <v>152</v>
      </c>
      <c r="J50" s="1" t="s">
        <v>153</v>
      </c>
      <c r="O50" s="56" t="s">
        <v>136</v>
      </c>
    </row>
    <row r="51" spans="1:15" x14ac:dyDescent="0.25">
      <c r="A51" s="1" t="s">
        <v>142</v>
      </c>
      <c r="B51" s="1" t="s">
        <v>143</v>
      </c>
      <c r="C51" s="1" t="s">
        <v>143</v>
      </c>
      <c r="D51" s="1" t="s">
        <v>143</v>
      </c>
      <c r="E51" s="1" t="s">
        <v>147</v>
      </c>
      <c r="F51" s="1" t="s">
        <v>150</v>
      </c>
      <c r="G51" s="1" t="s">
        <v>149</v>
      </c>
      <c r="H51" s="1" t="s">
        <v>151</v>
      </c>
      <c r="I51" s="1" t="s">
        <v>162</v>
      </c>
      <c r="J51" s="1" t="s">
        <v>154</v>
      </c>
      <c r="O51" s="74">
        <v>0.18</v>
      </c>
    </row>
    <row r="52" spans="1:15" x14ac:dyDescent="0.25">
      <c r="A52" s="52">
        <v>328000000</v>
      </c>
      <c r="B52" s="89">
        <v>384</v>
      </c>
      <c r="C52" s="89">
        <v>543</v>
      </c>
      <c r="D52" s="10">
        <f>B52+C52</f>
        <v>927</v>
      </c>
      <c r="E52" s="2">
        <f>A52/D52</f>
        <v>353829.55771305284</v>
      </c>
      <c r="F52" s="10">
        <f>E52/B16*H46</f>
        <v>5759105799237.2656</v>
      </c>
      <c r="G52" s="10">
        <f>F52*D52</f>
        <v>5338691075892945</v>
      </c>
      <c r="H52" s="8">
        <f>G52/1000000000000000</f>
        <v>5.3386910758929451</v>
      </c>
      <c r="I52" s="89">
        <v>8.4</v>
      </c>
      <c r="J52" s="8">
        <f>H52/I52</f>
        <v>0.63555846141582673</v>
      </c>
      <c r="O52" s="63" t="s">
        <v>137</v>
      </c>
    </row>
    <row r="53" spans="1:15" x14ac:dyDescent="0.25">
      <c r="A53" s="1" t="s">
        <v>155</v>
      </c>
      <c r="B53" t="s">
        <v>156</v>
      </c>
      <c r="C53" s="1" t="s">
        <v>157</v>
      </c>
      <c r="D53" s="1" t="s">
        <v>158</v>
      </c>
      <c r="E53" s="1" t="s">
        <v>160</v>
      </c>
      <c r="F53" s="1" t="s">
        <v>163</v>
      </c>
      <c r="G53" s="1" t="s">
        <v>164</v>
      </c>
      <c r="H53" s="1" t="s">
        <v>165</v>
      </c>
      <c r="O53" s="7">
        <f>O49*O51</f>
        <v>0.15632922673838853</v>
      </c>
    </row>
    <row r="54" spans="1:15" x14ac:dyDescent="0.25">
      <c r="A54" s="52">
        <v>3790000</v>
      </c>
      <c r="B54" s="52">
        <v>57900000</v>
      </c>
      <c r="C54" s="79">
        <f>A54/B54</f>
        <v>6.5457685664939549E-2</v>
      </c>
      <c r="D54" s="89">
        <v>1.4</v>
      </c>
      <c r="E54" s="7">
        <f>J52/D54</f>
        <v>0.45397032958273342</v>
      </c>
      <c r="F54" s="14">
        <f>E54*100</f>
        <v>45.397032958273343</v>
      </c>
      <c r="G54" s="90">
        <f ca="1">NOW()-F54</f>
        <v>44155.178239495428</v>
      </c>
      <c r="H54" s="90">
        <f ca="1">G54-(F54*365)</f>
        <v>27585.261209725657</v>
      </c>
    </row>
    <row r="55" spans="1:15" x14ac:dyDescent="0.25">
      <c r="D55" s="1" t="s">
        <v>159</v>
      </c>
    </row>
  </sheetData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Patterson</dc:creator>
  <cp:lastModifiedBy>William Patterson</cp:lastModifiedBy>
  <dcterms:created xsi:type="dcterms:W3CDTF">2020-12-14T13:39:52Z</dcterms:created>
  <dcterms:modified xsi:type="dcterms:W3CDTF">2021-01-04T18:53:50Z</dcterms:modified>
</cp:coreProperties>
</file>