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CPGE\Documents\Intercomputer 2018F12\Research - WCP\Transportation R&amp;D\Automotive R&amp;D\Auto Designs\"/>
    </mc:Choice>
  </mc:AlternateContent>
  <xr:revisionPtr revIDLastSave="0" documentId="13_ncr:1_{4C39C13A-8721-4E3C-A5D4-85491ABF2234}" xr6:coauthVersionLast="46" xr6:coauthVersionMax="46" xr10:uidLastSave="{00000000-0000-0000-0000-000000000000}"/>
  <bookViews>
    <workbookView xWindow="-120" yWindow="-120" windowWidth="29040" windowHeight="15840" xr2:uid="{F6F92F73-32A8-4532-AA5E-85EFF0A0393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K65" i="1" s="1"/>
  <c r="B60" i="1" s="1"/>
  <c r="J65" i="1"/>
  <c r="H65" i="1"/>
  <c r="D99" i="1" l="1"/>
  <c r="E99" i="1" s="1"/>
  <c r="D97" i="1"/>
  <c r="E97" i="1" s="1"/>
  <c r="B94" i="1" l="1"/>
  <c r="D91" i="1"/>
  <c r="D90" i="1"/>
  <c r="D89" i="1"/>
  <c r="E88" i="1" s="1"/>
  <c r="E85" i="1"/>
  <c r="F85" i="1" s="1"/>
  <c r="G85" i="1" s="1"/>
  <c r="H85" i="1" s="1"/>
  <c r="B83" i="1" s="1"/>
  <c r="G57" i="1"/>
  <c r="M12" i="1"/>
  <c r="K12" i="1"/>
  <c r="D77" i="1"/>
  <c r="D75" i="1"/>
  <c r="E48" i="1"/>
  <c r="F48" i="1" s="1"/>
  <c r="J45" i="1"/>
  <c r="K47" i="1" s="1"/>
  <c r="J41" i="1" s="1"/>
  <c r="K41" i="1" s="1"/>
  <c r="G62" i="1"/>
  <c r="D70" i="1"/>
  <c r="N70" i="1" s="1"/>
  <c r="D68" i="1"/>
  <c r="K68" i="1" s="1"/>
  <c r="B73" i="1" l="1"/>
  <c r="H57" i="1"/>
  <c r="I57" i="1"/>
  <c r="J57" i="1" s="1"/>
  <c r="K45" i="1"/>
  <c r="E68" i="1"/>
  <c r="E70" i="1"/>
  <c r="K49" i="1"/>
  <c r="N68" i="1"/>
  <c r="O70" i="1"/>
  <c r="P70" i="1" s="1"/>
  <c r="Q70" i="1" s="1"/>
  <c r="K70" i="1"/>
  <c r="O68" i="1"/>
  <c r="P68" i="1" s="1"/>
  <c r="Q68" i="1" s="1"/>
  <c r="L62" i="1"/>
  <c r="N62" i="1" s="1"/>
  <c r="O62" i="1" s="1"/>
  <c r="F53" i="1"/>
  <c r="D53" i="1"/>
  <c r="O3" i="1"/>
  <c r="E16" i="1"/>
  <c r="C37" i="1"/>
  <c r="E24" i="1"/>
  <c r="C24" i="1"/>
  <c r="C28" i="1"/>
  <c r="D28" i="1" s="1"/>
  <c r="E13" i="1"/>
  <c r="B24" i="1"/>
  <c r="D7" i="1"/>
  <c r="I10" i="1"/>
  <c r="G10" i="1"/>
  <c r="C35" i="1" l="1"/>
  <c r="G24" i="1"/>
  <c r="G53" i="1"/>
  <c r="D48" i="1" s="1"/>
  <c r="C48" i="1" s="1"/>
  <c r="D24" i="1"/>
  <c r="E7" i="1"/>
  <c r="F35" i="1" l="1"/>
  <c r="G35" i="1" s="1"/>
  <c r="H35" i="1" s="1"/>
  <c r="B39" i="1"/>
  <c r="B41" i="1" s="1"/>
  <c r="B35" i="1"/>
  <c r="F24" i="1"/>
  <c r="C39" i="1" s="1"/>
  <c r="C41" i="1" s="1"/>
  <c r="H24" i="1"/>
  <c r="B37" i="1"/>
  <c r="D37" i="1" s="1"/>
  <c r="E37" i="1" s="1"/>
  <c r="E31" i="1" s="1"/>
  <c r="J3" i="1"/>
  <c r="F28" i="1" s="1"/>
  <c r="G28" i="1" s="1"/>
  <c r="H28" i="1" s="1"/>
  <c r="I28" i="1" s="1"/>
  <c r="I24" i="1" s="1"/>
  <c r="D41" i="1" l="1"/>
  <c r="B45" i="1" s="1"/>
  <c r="D35" i="1"/>
  <c r="I35" i="1" s="1"/>
  <c r="K35" i="1" s="1"/>
  <c r="H62" i="1"/>
  <c r="J62" i="1" s="1"/>
  <c r="K62" i="1" s="1"/>
  <c r="P62" i="1" s="1"/>
  <c r="J35" i="1"/>
  <c r="F31" i="1" s="1"/>
  <c r="D39" i="1"/>
  <c r="J24" i="1"/>
  <c r="L24" i="1" s="1"/>
  <c r="J28" i="1"/>
  <c r="K28" i="1" s="1"/>
  <c r="E41" i="1" l="1"/>
  <c r="C45" i="1" s="1"/>
  <c r="D31" i="1" s="1"/>
  <c r="L3" i="1"/>
  <c r="M3" i="1" s="1"/>
  <c r="B43" i="1"/>
  <c r="M39" i="1" s="1"/>
  <c r="E39" i="1"/>
  <c r="C43" i="1"/>
  <c r="L28" i="1"/>
  <c r="N24" i="1"/>
  <c r="M41" i="1" s="1"/>
  <c r="M24" i="1"/>
  <c r="O24" i="1" s="1"/>
  <c r="K24" i="1"/>
  <c r="M43" i="1" l="1"/>
  <c r="M45" i="1" s="1"/>
  <c r="C31" i="1"/>
  <c r="B31" i="1" s="1"/>
  <c r="M47" i="1" s="1"/>
  <c r="M49" i="1" l="1"/>
  <c r="J47" i="1" s="1"/>
  <c r="M51" i="1" s="1"/>
  <c r="M53" i="1" l="1"/>
  <c r="J49" i="1"/>
  <c r="L68" i="1" s="1"/>
  <c r="M68" i="1" s="1"/>
  <c r="J51" i="1" l="1"/>
  <c r="K51" i="1" s="1"/>
  <c r="L70" i="1"/>
  <c r="M7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William Patterson</author>
  </authors>
  <commentList>
    <comment ref="K39" authorId="0" shapeId="0" xr:uid="{8CA6A6D3-2655-4FE6-865A-4DCD4AE1A21F}">
      <text>
        <r>
          <rPr>
            <b/>
            <sz val="9"/>
            <color indexed="81"/>
            <rFont val="Tahoma"/>
            <charset val="1"/>
          </rPr>
          <t>Enter "Li" for Lithium Battery or "Pb" for Lead Battery.</t>
        </r>
      </text>
    </comment>
    <comment ref="K49" authorId="0" shapeId="0" xr:uid="{EAD7ABFD-170D-4C7D-A68C-CEF0B3383F9D}">
      <text>
        <r>
          <rPr>
            <sz val="9"/>
            <color indexed="81"/>
            <rFont val="Tahoma"/>
            <family val="2"/>
          </rPr>
          <t>Multiple regression equation derived via NCSS w/ R-Sq=0.97 Sigma=3.66</t>
        </r>
      </text>
    </comment>
  </commentList>
</comments>
</file>

<file path=xl/sharedStrings.xml><?xml version="1.0" encoding="utf-8"?>
<sst xmlns="http://schemas.openxmlformats.org/spreadsheetml/2006/main" count="325" uniqueCount="183">
  <si>
    <t>Aluminum Electric Trike</t>
  </si>
  <si>
    <t>Quiet Transportation (Q/T)</t>
  </si>
  <si>
    <t>William C. Patterson, Ph.D.</t>
  </si>
  <si>
    <t>Part Description</t>
  </si>
  <si>
    <t>Side Spanel</t>
  </si>
  <si>
    <t>L"</t>
  </si>
  <si>
    <t>W"</t>
  </si>
  <si>
    <t>T"</t>
  </si>
  <si>
    <t>Unit Spanel (1sf)</t>
  </si>
  <si>
    <t>Acrylic</t>
  </si>
  <si>
    <t>Aluminum</t>
  </si>
  <si>
    <t>H18</t>
  </si>
  <si>
    <t>Alloy</t>
  </si>
  <si>
    <t>Temper</t>
  </si>
  <si>
    <t>PCF</t>
  </si>
  <si>
    <t>Unit Lb</t>
  </si>
  <si>
    <t>Lb</t>
  </si>
  <si>
    <t>Insulation</t>
  </si>
  <si>
    <t>H"</t>
  </si>
  <si>
    <t>Gen SF</t>
  </si>
  <si>
    <t>Oblique</t>
  </si>
  <si>
    <t>Void SF</t>
  </si>
  <si>
    <t>Door</t>
  </si>
  <si>
    <t>Unit Window (1sf)</t>
  </si>
  <si>
    <t>Comp YS PSI</t>
  </si>
  <si>
    <t>YS KSI</t>
  </si>
  <si>
    <t>Upper Door</t>
  </si>
  <si>
    <t>Notch</t>
  </si>
  <si>
    <t>Upper</t>
  </si>
  <si>
    <t>Full Door</t>
  </si>
  <si>
    <t xml:space="preserve"> SF</t>
  </si>
  <si>
    <t>SF</t>
  </si>
  <si>
    <t>Body</t>
  </si>
  <si>
    <t>Fwd Margin"</t>
  </si>
  <si>
    <t>Pillar"</t>
  </si>
  <si>
    <t>Oblique"</t>
  </si>
  <si>
    <t>Ground</t>
  </si>
  <si>
    <t>Clearance"</t>
  </si>
  <si>
    <t>Extension"</t>
  </si>
  <si>
    <t>Fwd/Rear Guard</t>
  </si>
  <si>
    <t>Deg</t>
  </si>
  <si>
    <t>F/R Upper</t>
  </si>
  <si>
    <t>Spanel Lb</t>
  </si>
  <si>
    <t>L-Side</t>
  </si>
  <si>
    <t>L&amp;R</t>
  </si>
  <si>
    <t>1 Door</t>
  </si>
  <si>
    <t>4-Door</t>
  </si>
  <si>
    <t>2-Door</t>
  </si>
  <si>
    <t>Wheels</t>
  </si>
  <si>
    <t>Tire</t>
  </si>
  <si>
    <t>Side Window-Doors</t>
  </si>
  <si>
    <t>Centerline</t>
  </si>
  <si>
    <t>Shocks</t>
  </si>
  <si>
    <t>Electric Wheel Motor</t>
  </si>
  <si>
    <t>China EV $/Lb</t>
  </si>
  <si>
    <t>U.S. EV $/Lb</t>
  </si>
  <si>
    <t>41% of U.S.</t>
  </si>
  <si>
    <t>2.4X China</t>
  </si>
  <si>
    <t>Front Spanel</t>
  </si>
  <si>
    <t>Rear Spanel</t>
  </si>
  <si>
    <t>Area SF</t>
  </si>
  <si>
    <t>F/R SkyLite</t>
  </si>
  <si>
    <t>Net Spanel</t>
  </si>
  <si>
    <t>Window Lb</t>
  </si>
  <si>
    <t>Floor Lb</t>
  </si>
  <si>
    <t>Windshield Lb</t>
  </si>
  <si>
    <t>Windshield</t>
  </si>
  <si>
    <t>Rear Window</t>
  </si>
  <si>
    <t>Unit Al Floor</t>
  </si>
  <si>
    <t>Interior</t>
  </si>
  <si>
    <t>Ft3</t>
  </si>
  <si>
    <t>Spanel SF</t>
  </si>
  <si>
    <t>Passengers</t>
  </si>
  <si>
    <t>Ft3/Psngr</t>
  </si>
  <si>
    <t>D"</t>
  </si>
  <si>
    <t>Set of 2</t>
  </si>
  <si>
    <t>W</t>
  </si>
  <si>
    <t>W/Lb</t>
  </si>
  <si>
    <t>W/Wheel</t>
  </si>
  <si>
    <t>HP/Wheel</t>
  </si>
  <si>
    <t>Lb/Wheel</t>
  </si>
  <si>
    <t>Qty</t>
  </si>
  <si>
    <t>Total Lb</t>
  </si>
  <si>
    <t>Al Frame</t>
  </si>
  <si>
    <t>6061-T6</t>
  </si>
  <si>
    <t>Shape</t>
  </si>
  <si>
    <t>Lb/Ft</t>
  </si>
  <si>
    <t>Transverse Sections</t>
  </si>
  <si>
    <t>Longitudinal Sections</t>
  </si>
  <si>
    <t>Total Ft</t>
  </si>
  <si>
    <t>Al Floor Lb</t>
  </si>
  <si>
    <t>Window Space Ft2</t>
  </si>
  <si>
    <t>Exterior Ft2</t>
  </si>
  <si>
    <t>% Window</t>
  </si>
  <si>
    <t>Battery</t>
  </si>
  <si>
    <t>Pb</t>
  </si>
  <si>
    <t>Li</t>
  </si>
  <si>
    <t>V</t>
  </si>
  <si>
    <t>Range Mi</t>
  </si>
  <si>
    <t>$/KWH</t>
  </si>
  <si>
    <t>$/Lb</t>
  </si>
  <si>
    <t>Cycles</t>
  </si>
  <si>
    <t>AHr</t>
  </si>
  <si>
    <t>WH/Mi</t>
  </si>
  <si>
    <t>WH</t>
  </si>
  <si>
    <t>WH/Lb</t>
  </si>
  <si>
    <t>Price</t>
  </si>
  <si>
    <t>Est. China Pricing</t>
  </si>
  <si>
    <t>Est. U.S. Pricing</t>
  </si>
  <si>
    <t>$/Ft3</t>
  </si>
  <si>
    <t>MPH</t>
  </si>
  <si>
    <t>WH/Wheel</t>
  </si>
  <si>
    <t>L</t>
  </si>
  <si>
    <t>Battery AH</t>
  </si>
  <si>
    <t>Motor V</t>
  </si>
  <si>
    <t>Battery WH</t>
  </si>
  <si>
    <t>Battery Lb</t>
  </si>
  <si>
    <t>Curb Wt Lb</t>
  </si>
  <si>
    <t>Motor W</t>
  </si>
  <si>
    <t>Range Hr</t>
  </si>
  <si>
    <t>Lb w/o Battery</t>
  </si>
  <si>
    <t>Lb w/ Battery</t>
  </si>
  <si>
    <t>Cube "</t>
  </si>
  <si>
    <t>Cube L"</t>
  </si>
  <si>
    <t>E-Trike Optimizer/Summarizer</t>
  </si>
  <si>
    <t>Kia Soul Reference</t>
  </si>
  <si>
    <t>Unit Solar Panel</t>
  </si>
  <si>
    <t>$/Ft2</t>
  </si>
  <si>
    <t>Lb/Ft2</t>
  </si>
  <si>
    <t>Solar Panel</t>
  </si>
  <si>
    <t>$</t>
  </si>
  <si>
    <t>Skylight L"</t>
  </si>
  <si>
    <t>Skylight W"</t>
  </si>
  <si>
    <t>Solar Roof</t>
  </si>
  <si>
    <t>Aluminum Floor</t>
  </si>
  <si>
    <t>Total HP</t>
  </si>
  <si>
    <t>Total Watts</t>
  </si>
  <si>
    <t>Lb/Seat</t>
  </si>
  <si>
    <t>Aluminum Mesh Seats</t>
  </si>
  <si>
    <t>Seat Heater/Cooler</t>
  </si>
  <si>
    <t>Lb/H-C</t>
  </si>
  <si>
    <t>Al Handlebar Dashboard</t>
  </si>
  <si>
    <t>Al Semi-Fenders</t>
  </si>
  <si>
    <t>Radius"</t>
  </si>
  <si>
    <t>Degrees</t>
  </si>
  <si>
    <t>Width"</t>
  </si>
  <si>
    <t>Thickness"</t>
  </si>
  <si>
    <t>Each SF</t>
  </si>
  <si>
    <t>Total SF</t>
  </si>
  <si>
    <t>Fender Aluminum</t>
  </si>
  <si>
    <t>Spanel Aluminum</t>
  </si>
  <si>
    <t>Each Lb</t>
  </si>
  <si>
    <t>Tubular Al Bumpers</t>
  </si>
  <si>
    <t>LB Each</t>
  </si>
  <si>
    <t>SF Each</t>
  </si>
  <si>
    <t>Lb Total</t>
  </si>
  <si>
    <t>White LED</t>
  </si>
  <si>
    <t>Amber LED</t>
  </si>
  <si>
    <t>Red LED</t>
  </si>
  <si>
    <t>Integral Lighting</t>
  </si>
  <si>
    <t>Oz Each</t>
  </si>
  <si>
    <t>Oz Total</t>
  </si>
  <si>
    <t>Roll With The Sun</t>
  </si>
  <si>
    <t>Cozy Transportation</t>
  </si>
  <si>
    <t>Cooler Earth, Cleaner Air, Quieter World</t>
  </si>
  <si>
    <t>Other</t>
  </si>
  <si>
    <t>Side Mirrors</t>
  </si>
  <si>
    <t>Metal Space Ft2</t>
  </si>
  <si>
    <t>Underlighting</t>
  </si>
  <si>
    <t>Strands</t>
  </si>
  <si>
    <t>Oz/Strand</t>
  </si>
  <si>
    <t>I</t>
  </si>
  <si>
    <t>Body Extrusion</t>
  </si>
  <si>
    <t>Suspension Extrusion</t>
  </si>
  <si>
    <t>Ride the Metal Pony</t>
  </si>
  <si>
    <t>Right Move for Regional Living</t>
  </si>
  <si>
    <t>Good Citizens Don't Hurt Anybody</t>
  </si>
  <si>
    <t>Mobilize With Aluminum</t>
  </si>
  <si>
    <t>Quiet Chariot of God</t>
  </si>
  <si>
    <t>Ride Softly and Live</t>
  </si>
  <si>
    <t>Driven By Electron Horses</t>
  </si>
  <si>
    <t>Slower Is Better</t>
  </si>
  <si>
    <t>Lighten Up Your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</si>
</sst>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.000"/>
    <numFmt numFmtId="165" formatCode="0.0"/>
    <numFmt numFmtId="166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charset val="1"/>
    </font>
    <font>
      <b/>
      <sz val="14"/>
      <color rgb="FFFFC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4"/>
      <color theme="7" tint="0.3999755851924192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9" fontId="6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3" borderId="0" xfId="2" applyAlignment="1">
      <alignment horizontal="center"/>
    </xf>
    <xf numFmtId="2" fontId="2" fillId="3" borderId="0" xfId="2" applyNumberFormat="1" applyAlignment="1">
      <alignment horizontal="center"/>
    </xf>
    <xf numFmtId="165" fontId="2" fillId="3" borderId="0" xfId="2" applyNumberFormat="1" applyAlignment="1">
      <alignment horizontal="center"/>
    </xf>
    <xf numFmtId="1" fontId="2" fillId="3" borderId="0" xfId="2" applyNumberFormat="1" applyAlignment="1">
      <alignment horizontal="center"/>
    </xf>
    <xf numFmtId="0" fontId="4" fillId="4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5" fillId="5" borderId="0" xfId="0" applyFont="1" applyFill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0" fontId="3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1" fillId="2" borderId="0" xfId="1" applyAlignment="1">
      <alignment horizontal="center"/>
    </xf>
    <xf numFmtId="1" fontId="1" fillId="2" borderId="0" xfId="1" applyNumberFormat="1" applyAlignment="1">
      <alignment horizontal="center"/>
    </xf>
    <xf numFmtId="8" fontId="0" fillId="5" borderId="0" xfId="0" applyNumberFormat="1" applyFill="1" applyAlignment="1">
      <alignment horizontal="center"/>
    </xf>
    <xf numFmtId="9" fontId="2" fillId="3" borderId="0" xfId="3" applyFont="1" applyFill="1" applyAlignment="1">
      <alignment horizontal="center"/>
    </xf>
    <xf numFmtId="6" fontId="2" fillId="3" borderId="0" xfId="2" applyNumberFormat="1" applyAlignment="1">
      <alignment horizontal="center"/>
    </xf>
    <xf numFmtId="3" fontId="1" fillId="2" borderId="0" xfId="1" applyNumberFormat="1" applyAlignment="1">
      <alignment horizontal="center"/>
    </xf>
    <xf numFmtId="3" fontId="2" fillId="3" borderId="0" xfId="2" applyNumberFormat="1" applyAlignment="1">
      <alignment horizontal="center"/>
    </xf>
    <xf numFmtId="3" fontId="0" fillId="0" borderId="0" xfId="0" applyNumberFormat="1"/>
    <xf numFmtId="0" fontId="7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2" borderId="0" xfId="1" applyBorder="1" applyAlignment="1">
      <alignment horizontal="center"/>
    </xf>
    <xf numFmtId="165" fontId="2" fillId="3" borderId="0" xfId="2" applyNumberFormat="1" applyBorder="1" applyAlignment="1">
      <alignment horizontal="center"/>
    </xf>
    <xf numFmtId="3" fontId="2" fillId="3" borderId="0" xfId="2" applyNumberFormat="1" applyBorder="1" applyAlignment="1">
      <alignment horizontal="center"/>
    </xf>
    <xf numFmtId="1" fontId="2" fillId="3" borderId="0" xfId="2" applyNumberFormat="1" applyBorder="1" applyAlignment="1">
      <alignment horizontal="center"/>
    </xf>
    <xf numFmtId="0" fontId="0" fillId="8" borderId="0" xfId="0" applyFill="1"/>
    <xf numFmtId="8" fontId="2" fillId="3" borderId="0" xfId="2" applyNumberFormat="1" applyAlignment="1">
      <alignment horizontal="center"/>
    </xf>
    <xf numFmtId="166" fontId="2" fillId="3" borderId="0" xfId="2" applyNumberFormat="1" applyAlignment="1">
      <alignment horizontal="center"/>
    </xf>
    <xf numFmtId="0" fontId="3" fillId="7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9" fillId="4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/>
    </xf>
    <xf numFmtId="6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64" fontId="1" fillId="2" borderId="0" xfId="1" applyNumberFormat="1" applyAlignment="1">
      <alignment horizontal="center"/>
    </xf>
    <xf numFmtId="0" fontId="12" fillId="8" borderId="0" xfId="0" applyFont="1" applyFill="1" applyAlignment="1">
      <alignment horizontal="left"/>
    </xf>
    <xf numFmtId="0" fontId="10" fillId="9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7" fillId="7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/>
    </xf>
    <xf numFmtId="0" fontId="21" fillId="7" borderId="0" xfId="0" applyFont="1" applyFill="1" applyAlignment="1">
      <alignment horizontal="center"/>
    </xf>
    <xf numFmtId="0" fontId="14" fillId="7" borderId="0" xfId="0" applyFont="1" applyFill="1" applyAlignment="1">
      <alignment horizontal="center"/>
    </xf>
    <xf numFmtId="0" fontId="22" fillId="4" borderId="0" xfId="0" applyFont="1" applyFill="1" applyAlignment="1">
      <alignment horizontal="center"/>
    </xf>
  </cellXfs>
  <cellStyles count="4">
    <cellStyle name="Bad" xfId="2" builtinId="27"/>
    <cellStyle name="Good" xfId="1" builtinId="26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400050</xdr:colOff>
      <xdr:row>5</xdr:row>
      <xdr:rowOff>104775</xdr:rowOff>
    </xdr:from>
    <xdr:to>
      <xdr:col>28</xdr:col>
      <xdr:colOff>247650</xdr:colOff>
      <xdr:row>25</xdr:row>
      <xdr:rowOff>75095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32CB5BF-0AED-4415-A121-FEBE5CE002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7175" y="1143000"/>
          <a:ext cx="7772400" cy="3780320"/>
        </a:xfrm>
        <a:prstGeom prst="rect">
          <a:avLst/>
        </a:prstGeom>
      </xdr:spPr>
    </xdr:pic>
    <xdr:clientData/>
  </xdr:twoCellAnchor>
  <xdr:twoCellAnchor editAs="oneCell">
    <xdr:from>
      <xdr:col>29</xdr:col>
      <xdr:colOff>66675</xdr:colOff>
      <xdr:row>5</xdr:row>
      <xdr:rowOff>171450</xdr:rowOff>
    </xdr:from>
    <xdr:to>
      <xdr:col>41</xdr:col>
      <xdr:colOff>523875</xdr:colOff>
      <xdr:row>23</xdr:row>
      <xdr:rowOff>1153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4B02390-79E8-43DC-8DF2-FB531EA36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26300" y="1343025"/>
          <a:ext cx="7772400" cy="3258703"/>
        </a:xfrm>
        <a:prstGeom prst="rect">
          <a:avLst/>
        </a:prstGeom>
      </xdr:spPr>
    </xdr:pic>
    <xdr:clientData/>
  </xdr:twoCellAnchor>
  <xdr:twoCellAnchor editAs="oneCell">
    <xdr:from>
      <xdr:col>17</xdr:col>
      <xdr:colOff>200131</xdr:colOff>
      <xdr:row>25</xdr:row>
      <xdr:rowOff>171450</xdr:rowOff>
    </xdr:from>
    <xdr:to>
      <xdr:col>26</xdr:col>
      <xdr:colOff>180974</xdr:colOff>
      <xdr:row>46</xdr:row>
      <xdr:rowOff>183696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A51173-FD87-43C8-A4C7-8B7882A0DF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556" y="5153025"/>
          <a:ext cx="5467243" cy="4088946"/>
        </a:xfrm>
        <a:prstGeom prst="rect">
          <a:avLst/>
        </a:prstGeom>
      </xdr:spPr>
    </xdr:pic>
    <xdr:clientData/>
  </xdr:twoCellAnchor>
  <xdr:twoCellAnchor editAs="oneCell">
    <xdr:from>
      <xdr:col>30</xdr:col>
      <xdr:colOff>47624</xdr:colOff>
      <xdr:row>25</xdr:row>
      <xdr:rowOff>152400</xdr:rowOff>
    </xdr:from>
    <xdr:to>
      <xdr:col>41</xdr:col>
      <xdr:colOff>165823</xdr:colOff>
      <xdr:row>48</xdr:row>
      <xdr:rowOff>28575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42E1891-2D62-4870-9722-D654ACC376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16849" y="5133975"/>
          <a:ext cx="6823799" cy="4333875"/>
        </a:xfrm>
        <a:prstGeom prst="rect">
          <a:avLst/>
        </a:prstGeom>
      </xdr:spPr>
    </xdr:pic>
    <xdr:clientData/>
  </xdr:twoCellAnchor>
  <xdr:twoCellAnchor editAs="oneCell">
    <xdr:from>
      <xdr:col>22</xdr:col>
      <xdr:colOff>381000</xdr:colOff>
      <xdr:row>49</xdr:row>
      <xdr:rowOff>180975</xdr:rowOff>
    </xdr:from>
    <xdr:to>
      <xdr:col>35</xdr:col>
      <xdr:colOff>228600</xdr:colOff>
      <xdr:row>68</xdr:row>
      <xdr:rowOff>144430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CF3D317-BD7C-4629-8465-A60CC889F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73425" y="9810750"/>
          <a:ext cx="7772400" cy="35829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37A7B-2E87-4DE3-BD62-B794F84A65D2}">
  <dimension ref="A1:AP99"/>
  <sheetViews>
    <sheetView tabSelected="1" workbookViewId="0">
      <selection activeCell="A5" sqref="A5"/>
    </sheetView>
  </sheetViews>
  <sheetFormatPr defaultRowHeight="15" x14ac:dyDescent="0.25"/>
  <cols>
    <col min="1" max="1" width="22.5703125" customWidth="1"/>
    <col min="2" max="2" width="12.5703125" customWidth="1"/>
    <col min="3" max="3" width="11.28515625" customWidth="1"/>
    <col min="4" max="4" width="11.7109375" customWidth="1"/>
    <col min="5" max="5" width="12.28515625" customWidth="1"/>
    <col min="6" max="6" width="12.42578125" customWidth="1"/>
    <col min="7" max="7" width="9.5703125" bestFit="1" customWidth="1"/>
    <col min="8" max="8" width="10.42578125" customWidth="1"/>
    <col min="9" max="9" width="10.85546875" customWidth="1"/>
    <col min="10" max="10" width="9.7109375" customWidth="1"/>
    <col min="12" max="12" width="9.85546875" bestFit="1" customWidth="1"/>
  </cols>
  <sheetData>
    <row r="1" spans="1:42" ht="21" x14ac:dyDescent="0.35">
      <c r="A1" s="7" t="s">
        <v>0</v>
      </c>
      <c r="B1" s="8"/>
      <c r="C1" s="8"/>
      <c r="D1" s="8"/>
      <c r="E1" s="8"/>
      <c r="F1" s="8"/>
      <c r="G1" s="9" t="s">
        <v>39</v>
      </c>
      <c r="H1" s="8"/>
      <c r="I1" s="9" t="s">
        <v>36</v>
      </c>
      <c r="J1" s="10" t="s">
        <v>20</v>
      </c>
      <c r="K1" s="8"/>
      <c r="L1" s="9" t="s">
        <v>69</v>
      </c>
      <c r="M1" s="9" t="s">
        <v>69</v>
      </c>
      <c r="N1" s="9"/>
      <c r="O1" s="9" t="s">
        <v>125</v>
      </c>
      <c r="P1" s="8"/>
      <c r="Q1" s="9" t="s">
        <v>54</v>
      </c>
      <c r="R1" s="8"/>
      <c r="S1" s="9" t="s">
        <v>55</v>
      </c>
      <c r="T1" s="8"/>
      <c r="U1" s="8"/>
      <c r="V1" s="8"/>
      <c r="W1" s="8"/>
      <c r="X1" s="50" t="s">
        <v>162</v>
      </c>
      <c r="Y1" s="39"/>
      <c r="Z1" s="8"/>
      <c r="AA1" s="8"/>
      <c r="AB1" s="8"/>
      <c r="AC1" s="8"/>
      <c r="AD1" s="54" t="s">
        <v>178</v>
      </c>
      <c r="AE1" s="8"/>
      <c r="AF1" s="8"/>
      <c r="AG1" s="8"/>
      <c r="AH1" s="8"/>
      <c r="AI1" s="8"/>
      <c r="AJ1" s="60" t="s">
        <v>174</v>
      </c>
      <c r="AK1" s="8"/>
      <c r="AL1" s="8"/>
      <c r="AM1" s="8"/>
      <c r="AN1" s="8"/>
      <c r="AO1" s="8"/>
      <c r="AP1" s="8"/>
    </row>
    <row r="2" spans="1:42" ht="18.75" x14ac:dyDescent="0.3">
      <c r="A2" s="11" t="s">
        <v>1</v>
      </c>
      <c r="B2" s="12"/>
      <c r="C2" s="12" t="s">
        <v>72</v>
      </c>
      <c r="D2" s="13" t="s">
        <v>5</v>
      </c>
      <c r="E2" s="13" t="s">
        <v>6</v>
      </c>
      <c r="F2" s="13" t="s">
        <v>18</v>
      </c>
      <c r="G2" s="14" t="s">
        <v>38</v>
      </c>
      <c r="H2" s="12"/>
      <c r="I2" s="12" t="s">
        <v>37</v>
      </c>
      <c r="J2" s="13" t="s">
        <v>40</v>
      </c>
      <c r="K2" s="13" t="s">
        <v>34</v>
      </c>
      <c r="L2" s="13" t="s">
        <v>70</v>
      </c>
      <c r="M2" s="12" t="s">
        <v>73</v>
      </c>
      <c r="N2" s="12"/>
      <c r="O2" s="12" t="s">
        <v>73</v>
      </c>
      <c r="P2" s="12"/>
      <c r="Q2" s="21">
        <v>4.63</v>
      </c>
      <c r="R2" s="12"/>
      <c r="S2" s="21">
        <v>11.14</v>
      </c>
      <c r="T2" s="12"/>
      <c r="U2" s="12"/>
      <c r="V2" s="12"/>
      <c r="W2" s="12"/>
      <c r="X2" s="51" t="s">
        <v>163</v>
      </c>
      <c r="Y2" s="40"/>
      <c r="Z2" s="12"/>
      <c r="AA2" s="12"/>
      <c r="AB2" s="12"/>
      <c r="AC2" s="12"/>
      <c r="AD2" s="55" t="s">
        <v>179</v>
      </c>
      <c r="AE2" s="12"/>
      <c r="AF2" s="12"/>
      <c r="AG2" s="12"/>
      <c r="AH2" s="12"/>
      <c r="AI2" s="12"/>
      <c r="AJ2" s="55" t="s">
        <v>175</v>
      </c>
      <c r="AK2" s="12"/>
      <c r="AL2" s="12"/>
      <c r="AM2" s="12"/>
      <c r="AN2" s="12"/>
      <c r="AO2" s="12"/>
      <c r="AP2" s="12"/>
    </row>
    <row r="3" spans="1:42" ht="18.75" x14ac:dyDescent="0.3">
      <c r="A3" s="15" t="s">
        <v>2</v>
      </c>
      <c r="B3" s="16"/>
      <c r="C3" s="17">
        <v>2.5</v>
      </c>
      <c r="D3" s="17">
        <v>110</v>
      </c>
      <c r="E3" s="17">
        <v>50</v>
      </c>
      <c r="F3" s="17">
        <v>65</v>
      </c>
      <c r="G3" s="17">
        <v>5</v>
      </c>
      <c r="H3" s="16"/>
      <c r="I3" s="17">
        <v>5</v>
      </c>
      <c r="J3" s="6">
        <f>DEGREES(ATAN(C24/D24))</f>
        <v>59.036243467926482</v>
      </c>
      <c r="K3" s="17">
        <v>4</v>
      </c>
      <c r="L3" s="6">
        <f>(L24+J28)*(C35/12)</f>
        <v>176.82956944444445</v>
      </c>
      <c r="M3" s="6">
        <f>L3/C3</f>
        <v>70.731827777777781</v>
      </c>
      <c r="N3" s="17"/>
      <c r="O3" s="17">
        <f>121.6/4</f>
        <v>30.4</v>
      </c>
      <c r="P3" s="16"/>
      <c r="Q3" s="16" t="s">
        <v>56</v>
      </c>
      <c r="R3" s="16"/>
      <c r="S3" s="16" t="s">
        <v>57</v>
      </c>
      <c r="T3" s="16"/>
      <c r="U3" s="16"/>
      <c r="V3" s="16"/>
      <c r="W3" s="16"/>
      <c r="X3" s="52" t="s">
        <v>164</v>
      </c>
      <c r="Y3" s="41"/>
      <c r="Z3" s="16"/>
      <c r="AA3" s="16"/>
      <c r="AB3" s="16"/>
      <c r="AC3" s="16"/>
      <c r="AD3" s="56" t="s">
        <v>180</v>
      </c>
      <c r="AE3" s="16"/>
      <c r="AF3" s="16"/>
      <c r="AG3" s="16"/>
      <c r="AH3" s="16"/>
      <c r="AI3" s="16"/>
      <c r="AJ3" s="57" t="s">
        <v>176</v>
      </c>
      <c r="AK3" s="16"/>
      <c r="AL3" s="16"/>
      <c r="AM3" s="16"/>
      <c r="AN3" s="16"/>
      <c r="AO3" s="16"/>
      <c r="AP3" s="16"/>
    </row>
    <row r="4" spans="1:42" ht="18.75" x14ac:dyDescent="0.3">
      <c r="A4" s="37">
        <v>2021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53" t="s">
        <v>182</v>
      </c>
      <c r="Y4" s="42"/>
      <c r="Z4" s="18"/>
      <c r="AA4" s="18"/>
      <c r="AB4" s="18"/>
      <c r="AC4" s="18"/>
      <c r="AD4" s="59" t="s">
        <v>181</v>
      </c>
      <c r="AE4" s="18"/>
      <c r="AF4" s="18"/>
      <c r="AG4" s="18"/>
      <c r="AH4" s="18"/>
      <c r="AI4" s="18"/>
      <c r="AJ4" s="58" t="s">
        <v>177</v>
      </c>
      <c r="AK4" s="18"/>
      <c r="AL4" s="18"/>
      <c r="AM4" s="18"/>
      <c r="AN4" s="18"/>
      <c r="AO4" s="18"/>
      <c r="AP4" s="18"/>
    </row>
    <row r="6" spans="1:42" x14ac:dyDescent="0.25">
      <c r="A6" s="1" t="s">
        <v>3</v>
      </c>
      <c r="B6" s="2" t="s">
        <v>5</v>
      </c>
      <c r="C6" s="2" t="s">
        <v>6</v>
      </c>
      <c r="D6" s="2" t="s">
        <v>7</v>
      </c>
      <c r="E6" s="2" t="s">
        <v>128</v>
      </c>
      <c r="F6" s="2" t="s">
        <v>17</v>
      </c>
      <c r="H6" s="2" t="s">
        <v>9</v>
      </c>
      <c r="J6" s="38" t="s">
        <v>150</v>
      </c>
      <c r="L6" s="38" t="s">
        <v>149</v>
      </c>
    </row>
    <row r="7" spans="1:42" x14ac:dyDescent="0.25">
      <c r="A7" s="2" t="s">
        <v>8</v>
      </c>
      <c r="B7" s="2">
        <v>12</v>
      </c>
      <c r="C7" s="2">
        <v>12</v>
      </c>
      <c r="D7" s="3">
        <f>G8+I8+2*K10</f>
        <v>2.13</v>
      </c>
      <c r="E7" s="4">
        <f>G10+I10+K12</f>
        <v>1.0941666666666667</v>
      </c>
      <c r="F7" s="2" t="s">
        <v>14</v>
      </c>
      <c r="G7" s="19">
        <v>1.5</v>
      </c>
      <c r="H7" s="2" t="s">
        <v>14</v>
      </c>
      <c r="I7" s="19">
        <v>75</v>
      </c>
      <c r="J7" s="2" t="s">
        <v>14</v>
      </c>
      <c r="K7" s="19">
        <v>169</v>
      </c>
      <c r="L7" s="2" t="s">
        <v>14</v>
      </c>
      <c r="M7" s="19">
        <v>169</v>
      </c>
    </row>
    <row r="8" spans="1:42" x14ac:dyDescent="0.25">
      <c r="F8" s="2" t="s">
        <v>7</v>
      </c>
      <c r="G8" s="19">
        <v>2</v>
      </c>
      <c r="H8" s="2" t="s">
        <v>7</v>
      </c>
      <c r="I8" s="47">
        <v>0.09</v>
      </c>
      <c r="J8" s="2" t="s">
        <v>12</v>
      </c>
      <c r="K8" s="19">
        <v>1100</v>
      </c>
      <c r="L8" s="2" t="s">
        <v>12</v>
      </c>
      <c r="M8" s="19">
        <v>1100</v>
      </c>
    </row>
    <row r="9" spans="1:42" x14ac:dyDescent="0.25">
      <c r="F9" s="2" t="s">
        <v>24</v>
      </c>
      <c r="G9" s="19">
        <v>30</v>
      </c>
      <c r="J9" s="2" t="s">
        <v>13</v>
      </c>
      <c r="K9" s="19" t="s">
        <v>11</v>
      </c>
      <c r="L9" s="2" t="s">
        <v>13</v>
      </c>
      <c r="M9" s="19" t="s">
        <v>11</v>
      </c>
    </row>
    <row r="10" spans="1:42" x14ac:dyDescent="0.25">
      <c r="F10" s="2" t="s">
        <v>15</v>
      </c>
      <c r="G10" s="3">
        <f>B7*C7*G8/1728*G7</f>
        <v>0.25</v>
      </c>
      <c r="H10" s="2" t="s">
        <v>15</v>
      </c>
      <c r="I10" s="4">
        <f>B7*C7*I8/1728*I7</f>
        <v>0.5625</v>
      </c>
      <c r="J10" s="2" t="s">
        <v>7</v>
      </c>
      <c r="K10" s="47">
        <v>0.02</v>
      </c>
      <c r="L10" s="2" t="s">
        <v>7</v>
      </c>
      <c r="M10" s="47">
        <v>0.03</v>
      </c>
    </row>
    <row r="11" spans="1:42" x14ac:dyDescent="0.25">
      <c r="J11" s="2" t="s">
        <v>25</v>
      </c>
      <c r="K11" s="19">
        <v>22</v>
      </c>
      <c r="L11" s="2" t="s">
        <v>25</v>
      </c>
      <c r="M11" s="19">
        <v>22</v>
      </c>
    </row>
    <row r="12" spans="1:42" x14ac:dyDescent="0.25">
      <c r="B12" s="2" t="s">
        <v>5</v>
      </c>
      <c r="C12" s="2" t="s">
        <v>6</v>
      </c>
      <c r="D12" s="2" t="s">
        <v>7</v>
      </c>
      <c r="E12" s="2" t="s">
        <v>128</v>
      </c>
      <c r="J12" s="2" t="s">
        <v>15</v>
      </c>
      <c r="K12" s="4">
        <f>B7*C7*K10/1728*K7</f>
        <v>0.28166666666666662</v>
      </c>
      <c r="L12" s="2" t="s">
        <v>15</v>
      </c>
      <c r="M12" s="4">
        <f>B7*C7*M10/1728*M7</f>
        <v>0.42249999999999999</v>
      </c>
    </row>
    <row r="13" spans="1:42" x14ac:dyDescent="0.25">
      <c r="A13" s="2" t="s">
        <v>23</v>
      </c>
      <c r="B13" s="2">
        <v>12</v>
      </c>
      <c r="C13" s="2">
        <v>12</v>
      </c>
      <c r="D13" s="19">
        <v>0.25</v>
      </c>
      <c r="E13" s="4">
        <f>B13*C13*D13/1728*I7</f>
        <v>1.5625</v>
      </c>
      <c r="F13" s="2"/>
      <c r="J13" s="2"/>
    </row>
    <row r="14" spans="1:42" x14ac:dyDescent="0.25">
      <c r="A14" s="2"/>
      <c r="B14" s="2"/>
      <c r="C14" s="2"/>
      <c r="E14" s="2"/>
      <c r="F14" s="2"/>
      <c r="J14" s="2"/>
    </row>
    <row r="15" spans="1:42" x14ac:dyDescent="0.25">
      <c r="A15" s="2"/>
      <c r="B15" s="2" t="s">
        <v>5</v>
      </c>
      <c r="C15" s="2" t="s">
        <v>6</v>
      </c>
      <c r="D15" s="2" t="s">
        <v>7</v>
      </c>
      <c r="E15" s="2" t="s">
        <v>128</v>
      </c>
      <c r="F15" s="2"/>
      <c r="J15" s="2"/>
    </row>
    <row r="16" spans="1:42" x14ac:dyDescent="0.25">
      <c r="A16" s="2" t="s">
        <v>68</v>
      </c>
      <c r="B16" s="2">
        <v>12</v>
      </c>
      <c r="C16" s="2">
        <v>12</v>
      </c>
      <c r="D16" s="19">
        <v>0.25</v>
      </c>
      <c r="E16" s="4">
        <f>B16*C16*D16/1728*K7</f>
        <v>3.520833333333333</v>
      </c>
      <c r="F16" s="2"/>
      <c r="J16" s="2"/>
    </row>
    <row r="17" spans="1:15" x14ac:dyDescent="0.25">
      <c r="A17" s="2"/>
      <c r="B17" s="2"/>
      <c r="C17" s="2"/>
      <c r="E17" s="2"/>
      <c r="F17" s="2"/>
      <c r="J17" s="2"/>
    </row>
    <row r="18" spans="1:15" x14ac:dyDescent="0.25">
      <c r="A18" s="2"/>
      <c r="B18" s="2" t="s">
        <v>5</v>
      </c>
      <c r="C18" s="2" t="s">
        <v>6</v>
      </c>
      <c r="D18" s="2" t="s">
        <v>7</v>
      </c>
      <c r="E18" s="2" t="s">
        <v>128</v>
      </c>
      <c r="F18" s="2" t="s">
        <v>127</v>
      </c>
      <c r="J18" s="2"/>
    </row>
    <row r="19" spans="1:15" x14ac:dyDescent="0.25">
      <c r="A19" s="2" t="s">
        <v>126</v>
      </c>
      <c r="B19" s="2">
        <v>12</v>
      </c>
      <c r="C19" s="2">
        <v>12</v>
      </c>
      <c r="D19" s="19">
        <v>1.5</v>
      </c>
      <c r="E19" s="4">
        <v>2.2999999999999998</v>
      </c>
      <c r="F19" s="35">
        <v>56</v>
      </c>
      <c r="J19" s="2"/>
    </row>
    <row r="20" spans="1:15" x14ac:dyDescent="0.25">
      <c r="A20" s="2"/>
      <c r="B20" s="2"/>
      <c r="C20" s="2"/>
      <c r="E20" s="2"/>
      <c r="F20" s="2"/>
      <c r="J20" s="2"/>
    </row>
    <row r="21" spans="1:15" x14ac:dyDescent="0.25">
      <c r="A21" s="2"/>
      <c r="B21" s="2"/>
      <c r="C21" s="2"/>
      <c r="E21" s="2"/>
      <c r="F21" s="2"/>
      <c r="J21" s="2"/>
    </row>
    <row r="22" spans="1:15" x14ac:dyDescent="0.25">
      <c r="B22" s="2" t="s">
        <v>32</v>
      </c>
      <c r="C22" s="2" t="s">
        <v>28</v>
      </c>
      <c r="G22" s="2" t="s">
        <v>28</v>
      </c>
      <c r="H22" s="2" t="s">
        <v>41</v>
      </c>
      <c r="I22" s="2" t="s">
        <v>26</v>
      </c>
      <c r="J22" s="2" t="s">
        <v>28</v>
      </c>
      <c r="K22" s="2" t="s">
        <v>28</v>
      </c>
      <c r="L22" s="2" t="s">
        <v>43</v>
      </c>
      <c r="M22" s="2" t="s">
        <v>43</v>
      </c>
      <c r="N22" s="2" t="s">
        <v>44</v>
      </c>
      <c r="O22" s="2" t="s">
        <v>44</v>
      </c>
    </row>
    <row r="23" spans="1:15" x14ac:dyDescent="0.25">
      <c r="B23" s="2" t="s">
        <v>5</v>
      </c>
      <c r="C23" s="2" t="s">
        <v>18</v>
      </c>
      <c r="D23" s="2" t="s">
        <v>33</v>
      </c>
      <c r="E23" s="2" t="s">
        <v>34</v>
      </c>
      <c r="F23" s="2" t="s">
        <v>35</v>
      </c>
      <c r="G23" s="2" t="s">
        <v>19</v>
      </c>
      <c r="H23" s="2" t="s">
        <v>21</v>
      </c>
      <c r="I23" s="2" t="s">
        <v>21</v>
      </c>
      <c r="J23" s="2" t="s">
        <v>71</v>
      </c>
      <c r="K23" s="2" t="s">
        <v>42</v>
      </c>
      <c r="L23" s="2" t="s">
        <v>71</v>
      </c>
      <c r="M23" s="2" t="s">
        <v>42</v>
      </c>
      <c r="N23" s="2" t="s">
        <v>71</v>
      </c>
      <c r="O23" s="2" t="s">
        <v>42</v>
      </c>
    </row>
    <row r="24" spans="1:15" x14ac:dyDescent="0.25">
      <c r="A24" s="1" t="s">
        <v>4</v>
      </c>
      <c r="B24" s="3">
        <f>D3-(2*G3)</f>
        <v>100</v>
      </c>
      <c r="C24" s="3">
        <f>(F3-I3)/2</f>
        <v>30</v>
      </c>
      <c r="D24" s="3">
        <f>B24/2-B28-E24/2</f>
        <v>18</v>
      </c>
      <c r="E24" s="3">
        <f>K3</f>
        <v>4</v>
      </c>
      <c r="F24" s="6">
        <f>SQRT(POWER(C24,2)+POWER(D24,2))</f>
        <v>34.985711369071801</v>
      </c>
      <c r="G24" s="4">
        <f>(B24*C24)/144</f>
        <v>20.833333333333332</v>
      </c>
      <c r="H24" s="4">
        <f>C24*D24/144</f>
        <v>3.75</v>
      </c>
      <c r="I24" s="4">
        <f>I28/2</f>
        <v>6.1124999999999998</v>
      </c>
      <c r="J24" s="4">
        <f>G24-H24-I24</f>
        <v>10.970833333333331</v>
      </c>
      <c r="K24" s="4">
        <f>J24*E7</f>
        <v>12.003920138888887</v>
      </c>
      <c r="L24" s="4">
        <f>2*J24</f>
        <v>21.941666666666663</v>
      </c>
      <c r="M24" s="4">
        <f>L24*E7</f>
        <v>24.007840277777774</v>
      </c>
      <c r="N24" s="4">
        <f>L24*2</f>
        <v>43.883333333333326</v>
      </c>
      <c r="O24" s="4">
        <f>2*M24</f>
        <v>48.015680555555548</v>
      </c>
    </row>
    <row r="26" spans="1:15" x14ac:dyDescent="0.25">
      <c r="B26" s="2" t="s">
        <v>22</v>
      </c>
      <c r="C26" s="2" t="s">
        <v>22</v>
      </c>
      <c r="D26" s="2" t="s">
        <v>45</v>
      </c>
      <c r="E26" s="2" t="s">
        <v>27</v>
      </c>
      <c r="F26" s="2" t="s">
        <v>27</v>
      </c>
      <c r="G26" s="2" t="s">
        <v>27</v>
      </c>
      <c r="H26" s="2" t="s">
        <v>27</v>
      </c>
      <c r="I26" s="2" t="s">
        <v>29</v>
      </c>
      <c r="J26" s="2" t="s">
        <v>47</v>
      </c>
      <c r="K26" s="2" t="s">
        <v>46</v>
      </c>
      <c r="L26" s="2" t="s">
        <v>46</v>
      </c>
    </row>
    <row r="27" spans="1:15" x14ac:dyDescent="0.25">
      <c r="B27" s="2" t="s">
        <v>6</v>
      </c>
      <c r="C27" s="2" t="s">
        <v>18</v>
      </c>
      <c r="D27" s="2" t="s">
        <v>19</v>
      </c>
      <c r="E27" s="2" t="s">
        <v>18</v>
      </c>
      <c r="F27" s="2" t="s">
        <v>35</v>
      </c>
      <c r="G27" s="2" t="s">
        <v>6</v>
      </c>
      <c r="H27" s="2" t="s">
        <v>31</v>
      </c>
      <c r="I27" s="2" t="s">
        <v>30</v>
      </c>
      <c r="J27" s="2" t="s">
        <v>30</v>
      </c>
      <c r="K27" s="2" t="s">
        <v>31</v>
      </c>
      <c r="L27" s="2" t="s">
        <v>16</v>
      </c>
    </row>
    <row r="28" spans="1:15" x14ac:dyDescent="0.25">
      <c r="A28" s="1" t="s">
        <v>50</v>
      </c>
      <c r="B28" s="19">
        <v>30</v>
      </c>
      <c r="C28" s="3">
        <f>F3-6</f>
        <v>59</v>
      </c>
      <c r="D28" s="5">
        <f>B28*C28/144</f>
        <v>12.291666666666666</v>
      </c>
      <c r="E28" s="20">
        <v>4</v>
      </c>
      <c r="F28" s="4">
        <f>E28/SIN(RADIANS(J3))</f>
        <v>4.6647615158762399</v>
      </c>
      <c r="G28" s="4">
        <f>SQRT(POWER(F28,2)-POWER(E28,2))</f>
        <v>2.399999999999999</v>
      </c>
      <c r="H28" s="4">
        <f>0.5*E28*G28/144</f>
        <v>3.3333333333333319E-2</v>
      </c>
      <c r="I28" s="4">
        <f>D28-2*H28</f>
        <v>12.225</v>
      </c>
      <c r="J28" s="4">
        <f>I28*2</f>
        <v>24.45</v>
      </c>
      <c r="K28" s="4">
        <f>J28*2</f>
        <v>48.9</v>
      </c>
      <c r="L28" s="5">
        <f>K28*E13</f>
        <v>76.40625</v>
      </c>
    </row>
    <row r="30" spans="1:15" x14ac:dyDescent="0.25">
      <c r="B30" s="2" t="s">
        <v>16</v>
      </c>
      <c r="C30" t="s">
        <v>63</v>
      </c>
      <c r="D30" s="2" t="s">
        <v>42</v>
      </c>
      <c r="E30" s="2" t="s">
        <v>90</v>
      </c>
      <c r="F30" s="2" t="s">
        <v>129</v>
      </c>
    </row>
    <row r="31" spans="1:15" x14ac:dyDescent="0.25">
      <c r="A31" s="1" t="s">
        <v>51</v>
      </c>
      <c r="B31" s="5">
        <f>SUM(C31:F31)</f>
        <v>177.01555491217644</v>
      </c>
      <c r="C31" s="4">
        <f>H35+E39+C43</f>
        <v>49.616893186227088</v>
      </c>
      <c r="D31" s="5">
        <f>E41+C45</f>
        <v>24.318559874097513</v>
      </c>
      <c r="E31" s="4">
        <f>E37</f>
        <v>78.240740740740733</v>
      </c>
      <c r="F31" s="5">
        <f>J35</f>
        <v>24.839361111111113</v>
      </c>
    </row>
    <row r="32" spans="1:15" x14ac:dyDescent="0.25">
      <c r="A32" s="1"/>
      <c r="E32" s="2" t="s">
        <v>61</v>
      </c>
      <c r="F32" s="2" t="s">
        <v>62</v>
      </c>
    </row>
    <row r="33" spans="1:14" x14ac:dyDescent="0.25">
      <c r="G33" s="2" t="s">
        <v>61</v>
      </c>
      <c r="H33" s="2" t="s">
        <v>61</v>
      </c>
      <c r="I33" s="2" t="s">
        <v>129</v>
      </c>
      <c r="J33" s="2" t="s">
        <v>129</v>
      </c>
      <c r="K33" s="2" t="s">
        <v>129</v>
      </c>
    </row>
    <row r="34" spans="1:14" x14ac:dyDescent="0.25">
      <c r="B34" s="2" t="s">
        <v>5</v>
      </c>
      <c r="C34" s="2" t="s">
        <v>6</v>
      </c>
      <c r="D34" s="2" t="s">
        <v>60</v>
      </c>
      <c r="E34" s="2" t="s">
        <v>131</v>
      </c>
      <c r="F34" s="2" t="s">
        <v>132</v>
      </c>
      <c r="G34" s="2" t="s">
        <v>31</v>
      </c>
      <c r="H34" s="2" t="s">
        <v>16</v>
      </c>
      <c r="I34" s="2" t="s">
        <v>31</v>
      </c>
      <c r="J34" s="2" t="s">
        <v>16</v>
      </c>
      <c r="K34" s="2" t="s">
        <v>130</v>
      </c>
    </row>
    <row r="35" spans="1:14" x14ac:dyDescent="0.25">
      <c r="A35" s="2" t="s">
        <v>133</v>
      </c>
      <c r="B35" s="3">
        <f>B24-2*D24</f>
        <v>64</v>
      </c>
      <c r="C35" s="3">
        <f>E3-2*D7</f>
        <v>45.74</v>
      </c>
      <c r="D35" s="5">
        <f>B35*C35/144</f>
        <v>20.328888888888891</v>
      </c>
      <c r="E35" s="19">
        <v>15</v>
      </c>
      <c r="F35" s="3">
        <f>C35</f>
        <v>45.74</v>
      </c>
      <c r="G35" s="5">
        <f>2*E35*F35/144</f>
        <v>9.5291666666666668</v>
      </c>
      <c r="H35" s="5">
        <f>G35*E13</f>
        <v>14.889322916666666</v>
      </c>
      <c r="I35" s="5">
        <f>D35-G35</f>
        <v>10.799722222222224</v>
      </c>
      <c r="J35" s="5">
        <f>I35*E19</f>
        <v>24.839361111111113</v>
      </c>
      <c r="K35" s="36">
        <f>I35*F19</f>
        <v>604.78444444444449</v>
      </c>
    </row>
    <row r="36" spans="1:14" x14ac:dyDescent="0.25">
      <c r="A36" s="2"/>
      <c r="B36" s="2" t="s">
        <v>5</v>
      </c>
      <c r="C36" s="2" t="s">
        <v>6</v>
      </c>
      <c r="D36" s="2" t="s">
        <v>60</v>
      </c>
      <c r="E36" s="2" t="s">
        <v>64</v>
      </c>
    </row>
    <row r="37" spans="1:14" ht="21" x14ac:dyDescent="0.35">
      <c r="A37" s="2" t="s">
        <v>134</v>
      </c>
      <c r="B37" s="3">
        <f>B24-2*D24</f>
        <v>64</v>
      </c>
      <c r="C37" s="3">
        <f>E3</f>
        <v>50</v>
      </c>
      <c r="D37" s="5">
        <f>B37*C37/144</f>
        <v>22.222222222222221</v>
      </c>
      <c r="E37" s="4">
        <f>D37*E16</f>
        <v>78.240740740740733</v>
      </c>
      <c r="I37" s="34"/>
      <c r="J37" s="48" t="s">
        <v>124</v>
      </c>
      <c r="K37" s="34"/>
      <c r="L37" s="34"/>
      <c r="M37" s="34"/>
      <c r="N37" s="34"/>
    </row>
    <row r="38" spans="1:14" x14ac:dyDescent="0.25">
      <c r="A38" s="2"/>
      <c r="B38" s="2" t="s">
        <v>6</v>
      </c>
      <c r="C38" s="2" t="s">
        <v>18</v>
      </c>
      <c r="D38" s="2" t="s">
        <v>60</v>
      </c>
      <c r="E38" s="2" t="s">
        <v>65</v>
      </c>
      <c r="I38" s="34"/>
      <c r="J38" s="27"/>
      <c r="K38" s="28"/>
      <c r="M38" s="43" t="s">
        <v>91</v>
      </c>
      <c r="N38" s="34"/>
    </row>
    <row r="39" spans="1:14" x14ac:dyDescent="0.25">
      <c r="A39" s="2" t="s">
        <v>66</v>
      </c>
      <c r="B39" s="3">
        <f>C35</f>
        <v>45.74</v>
      </c>
      <c r="C39" s="6">
        <f>F24</f>
        <v>34.985711369071801</v>
      </c>
      <c r="D39" s="5">
        <f>B39*C39/144</f>
        <v>11.112822486259335</v>
      </c>
      <c r="E39" s="4">
        <f>D39*E13</f>
        <v>17.363785134780212</v>
      </c>
      <c r="I39" s="34"/>
      <c r="J39" s="29" t="s">
        <v>94</v>
      </c>
      <c r="K39" s="30" t="s">
        <v>95</v>
      </c>
      <c r="M39" s="4">
        <f>K28+D39+B43</f>
        <v>71.125644972518671</v>
      </c>
      <c r="N39" s="34"/>
    </row>
    <row r="40" spans="1:14" x14ac:dyDescent="0.25">
      <c r="A40" s="2"/>
      <c r="B40" s="2" t="s">
        <v>6</v>
      </c>
      <c r="C40" s="2" t="s">
        <v>18</v>
      </c>
      <c r="D40" s="2" t="s">
        <v>60</v>
      </c>
      <c r="E40" s="2" t="s">
        <v>42</v>
      </c>
      <c r="I40" s="34"/>
      <c r="J40" s="29" t="s">
        <v>78</v>
      </c>
      <c r="K40" s="28" t="s">
        <v>79</v>
      </c>
      <c r="M40" s="43" t="s">
        <v>167</v>
      </c>
      <c r="N40" s="34"/>
    </row>
    <row r="41" spans="1:14" x14ac:dyDescent="0.25">
      <c r="A41" s="2" t="s">
        <v>58</v>
      </c>
      <c r="B41" s="3">
        <f>B39</f>
        <v>45.74</v>
      </c>
      <c r="C41" s="6">
        <f>C39</f>
        <v>34.985711369071801</v>
      </c>
      <c r="D41" s="5">
        <f>B41*C41/144</f>
        <v>11.112822486259335</v>
      </c>
      <c r="E41" s="5">
        <f>D41*E7</f>
        <v>12.159279937048757</v>
      </c>
      <c r="I41" s="34"/>
      <c r="J41" s="32">
        <f>K47/3</f>
        <v>1120</v>
      </c>
      <c r="K41" s="31">
        <f>J41/746</f>
        <v>1.5013404825737264</v>
      </c>
      <c r="M41" s="4">
        <f>N24+D37+D41+B45</f>
        <v>88.33120052807422</v>
      </c>
      <c r="N41" s="34"/>
    </row>
    <row r="42" spans="1:14" x14ac:dyDescent="0.25">
      <c r="A42" s="2"/>
      <c r="B42" s="2" t="s">
        <v>60</v>
      </c>
      <c r="C42" s="2" t="s">
        <v>63</v>
      </c>
      <c r="I42" s="34"/>
      <c r="J42" s="29" t="s">
        <v>113</v>
      </c>
      <c r="K42" s="29" t="s">
        <v>114</v>
      </c>
      <c r="M42" s="43" t="s">
        <v>92</v>
      </c>
      <c r="N42" s="34"/>
    </row>
    <row r="43" spans="1:14" x14ac:dyDescent="0.25">
      <c r="A43" s="2" t="s">
        <v>67</v>
      </c>
      <c r="B43" s="5">
        <f>D39</f>
        <v>11.112822486259335</v>
      </c>
      <c r="C43" s="4">
        <f>E39</f>
        <v>17.363785134780212</v>
      </c>
      <c r="I43" s="34"/>
      <c r="J43" s="30">
        <v>56</v>
      </c>
      <c r="K43" s="30">
        <v>60</v>
      </c>
      <c r="M43" s="4">
        <f>M39+M41</f>
        <v>159.45684550059289</v>
      </c>
      <c r="N43" s="34"/>
    </row>
    <row r="44" spans="1:14" x14ac:dyDescent="0.25">
      <c r="A44" s="2"/>
      <c r="B44" s="2" t="s">
        <v>60</v>
      </c>
      <c r="C44" s="2" t="s">
        <v>42</v>
      </c>
      <c r="I44" s="34"/>
      <c r="J44" s="28" t="s">
        <v>115</v>
      </c>
      <c r="K44" s="28" t="s">
        <v>116</v>
      </c>
      <c r="M44" s="43" t="s">
        <v>93</v>
      </c>
      <c r="N44" s="34"/>
    </row>
    <row r="45" spans="1:14" x14ac:dyDescent="0.25">
      <c r="A45" s="2" t="s">
        <v>59</v>
      </c>
      <c r="B45" s="5">
        <f>D41</f>
        <v>11.112822486259335</v>
      </c>
      <c r="C45" s="5">
        <f>E41</f>
        <v>12.159279937048757</v>
      </c>
      <c r="I45" s="34"/>
      <c r="J45" s="32">
        <f>J43*K43</f>
        <v>3360</v>
      </c>
      <c r="K45" s="33">
        <f>IF(K39="Li",J45/48,J45/19)</f>
        <v>176.84210526315789</v>
      </c>
      <c r="M45" s="22">
        <f>M39/M43</f>
        <v>0.44604949225747859</v>
      </c>
      <c r="N45" s="34"/>
    </row>
    <row r="46" spans="1:14" x14ac:dyDescent="0.25">
      <c r="I46" s="34"/>
      <c r="J46" s="28" t="s">
        <v>117</v>
      </c>
      <c r="K46" s="28" t="s">
        <v>118</v>
      </c>
      <c r="M46" s="43" t="s">
        <v>120</v>
      </c>
      <c r="N46" s="34"/>
    </row>
    <row r="47" spans="1:14" x14ac:dyDescent="0.25">
      <c r="B47" s="2" t="s">
        <v>81</v>
      </c>
      <c r="C47" s="2" t="s">
        <v>82</v>
      </c>
      <c r="D47" s="2" t="s">
        <v>80</v>
      </c>
      <c r="E47" s="2" t="s">
        <v>135</v>
      </c>
      <c r="F47" s="2" t="s">
        <v>136</v>
      </c>
      <c r="I47" s="34"/>
      <c r="J47" s="33">
        <f>M49</f>
        <v>662.85088245603424</v>
      </c>
      <c r="K47" s="32">
        <f>J45</f>
        <v>3360</v>
      </c>
      <c r="M47" s="6">
        <f>O24+L28+B31+C48+B60+B73+B83+B94</f>
        <v>520.74561929813945</v>
      </c>
      <c r="N47" s="34"/>
    </row>
    <row r="48" spans="1:14" x14ac:dyDescent="0.25">
      <c r="A48" s="1" t="s">
        <v>48</v>
      </c>
      <c r="B48" s="19">
        <v>3</v>
      </c>
      <c r="C48" s="6">
        <f>B48*D48</f>
        <v>162.00034487109613</v>
      </c>
      <c r="D48" s="5">
        <f>C50+G53+C55+H57</f>
        <v>54.000114957032046</v>
      </c>
      <c r="E48" s="3">
        <f>B48*E53</f>
        <v>4.5</v>
      </c>
      <c r="F48" s="25">
        <f>E48*746</f>
        <v>3357</v>
      </c>
      <c r="I48" s="34"/>
      <c r="J48" s="29" t="s">
        <v>103</v>
      </c>
      <c r="K48" s="29" t="s">
        <v>110</v>
      </c>
      <c r="M48" s="43" t="s">
        <v>121</v>
      </c>
      <c r="N48" s="34"/>
    </row>
    <row r="49" spans="1:16" x14ac:dyDescent="0.25">
      <c r="B49" s="2" t="s">
        <v>74</v>
      </c>
      <c r="C49" s="2" t="s">
        <v>16</v>
      </c>
      <c r="I49" s="34"/>
      <c r="J49" s="33">
        <f>41.285*EXP(0.0006*J47)</f>
        <v>61.4491354863693</v>
      </c>
      <c r="K49" s="33">
        <f>-60.1507562432135+ 0.31863891347462*K43+ 9.02121677961638*LN(K47)-0.000704079200203245*K43*K43</f>
        <v>29.682433527098198</v>
      </c>
      <c r="M49" s="6">
        <f>IF(K39="Li",M47+K70,M47+K68)</f>
        <v>662.85088245603424</v>
      </c>
      <c r="N49" s="34"/>
    </row>
    <row r="50" spans="1:16" x14ac:dyDescent="0.25">
      <c r="A50" s="2" t="s">
        <v>49</v>
      </c>
      <c r="B50" s="19">
        <v>12</v>
      </c>
      <c r="C50" s="19">
        <v>15</v>
      </c>
      <c r="I50" s="34"/>
      <c r="J50" s="29" t="s">
        <v>98</v>
      </c>
      <c r="K50" s="28" t="s">
        <v>119</v>
      </c>
      <c r="M50" s="43" t="s">
        <v>107</v>
      </c>
      <c r="N50" s="34"/>
    </row>
    <row r="51" spans="1:16" x14ac:dyDescent="0.25">
      <c r="A51" s="2"/>
      <c r="I51" s="34"/>
      <c r="J51" s="33">
        <f>J45/J49</f>
        <v>54.679369748746396</v>
      </c>
      <c r="K51" s="31">
        <f>J51/K49</f>
        <v>1.8421457829199741</v>
      </c>
      <c r="M51" s="23">
        <f>J47*Q2</f>
        <v>3068.9995857714384</v>
      </c>
      <c r="N51" s="34"/>
    </row>
    <row r="52" spans="1:16" x14ac:dyDescent="0.25">
      <c r="B52" s="2" t="s">
        <v>76</v>
      </c>
      <c r="C52" s="2" t="s">
        <v>16</v>
      </c>
      <c r="D52" s="2" t="s">
        <v>77</v>
      </c>
      <c r="E52" s="2" t="s">
        <v>79</v>
      </c>
      <c r="F52" s="2" t="s">
        <v>78</v>
      </c>
      <c r="G52" s="2" t="s">
        <v>80</v>
      </c>
      <c r="I52" s="34"/>
      <c r="M52" s="43" t="s">
        <v>108</v>
      </c>
      <c r="N52" s="34"/>
    </row>
    <row r="53" spans="1:16" x14ac:dyDescent="0.25">
      <c r="A53" s="2" t="s">
        <v>53</v>
      </c>
      <c r="B53" s="49">
        <v>350</v>
      </c>
      <c r="C53" s="49">
        <v>9</v>
      </c>
      <c r="D53" s="6">
        <f>B53/C53</f>
        <v>38.888888888888886</v>
      </c>
      <c r="E53" s="19">
        <v>1.5</v>
      </c>
      <c r="F53" s="25">
        <f>E53*746</f>
        <v>1119</v>
      </c>
      <c r="G53" s="5">
        <f>F53/D53</f>
        <v>28.774285714285718</v>
      </c>
      <c r="I53" s="34"/>
      <c r="M53" s="23">
        <f>J47*S2</f>
        <v>7384.1588305602218</v>
      </c>
      <c r="N53" s="34"/>
    </row>
    <row r="54" spans="1:16" x14ac:dyDescent="0.25">
      <c r="I54" s="34"/>
      <c r="J54" s="34"/>
      <c r="K54" s="34"/>
      <c r="L54" s="34"/>
      <c r="M54" s="34"/>
      <c r="N54" s="34"/>
    </row>
    <row r="55" spans="1:16" x14ac:dyDescent="0.25">
      <c r="A55" s="2" t="s">
        <v>52</v>
      </c>
      <c r="B55" s="2" t="s">
        <v>75</v>
      </c>
      <c r="C55" s="2">
        <v>10</v>
      </c>
    </row>
    <row r="56" spans="1:16" x14ac:dyDescent="0.25">
      <c r="A56" s="2"/>
      <c r="B56" s="2" t="s">
        <v>81</v>
      </c>
      <c r="C56" s="2" t="s">
        <v>143</v>
      </c>
      <c r="D56" s="2" t="s">
        <v>144</v>
      </c>
      <c r="E56" s="2" t="s">
        <v>145</v>
      </c>
      <c r="F56" s="2" t="s">
        <v>146</v>
      </c>
      <c r="G56" s="2" t="s">
        <v>147</v>
      </c>
      <c r="H56" s="2" t="s">
        <v>151</v>
      </c>
      <c r="I56" s="2" t="s">
        <v>148</v>
      </c>
      <c r="J56" s="2" t="s">
        <v>82</v>
      </c>
    </row>
    <row r="57" spans="1:16" x14ac:dyDescent="0.25">
      <c r="A57" s="2" t="s">
        <v>142</v>
      </c>
      <c r="B57" s="19">
        <v>3</v>
      </c>
      <c r="C57" s="19">
        <v>7</v>
      </c>
      <c r="D57" s="19">
        <v>135</v>
      </c>
      <c r="E57" s="19">
        <v>7</v>
      </c>
      <c r="F57" s="47">
        <v>0.03</v>
      </c>
      <c r="G57" s="4">
        <f>PI()*2*C57*D57/360*E57/144</f>
        <v>0.80176062513489499</v>
      </c>
      <c r="H57" s="5">
        <f>G57*K12</f>
        <v>0.22582924274632871</v>
      </c>
      <c r="I57" s="4">
        <f>B57*G57</f>
        <v>2.4052818754046852</v>
      </c>
      <c r="J57" s="5">
        <f>I57*M12</f>
        <v>1.0162315923584795</v>
      </c>
    </row>
    <row r="59" spans="1:16" x14ac:dyDescent="0.25">
      <c r="B59" s="2" t="s">
        <v>82</v>
      </c>
    </row>
    <row r="60" spans="1:16" x14ac:dyDescent="0.25">
      <c r="A60" s="1" t="s">
        <v>83</v>
      </c>
      <c r="B60" s="4">
        <f>P62+K65</f>
        <v>20.028605713352377</v>
      </c>
      <c r="H60" t="s">
        <v>88</v>
      </c>
      <c r="L60" t="s">
        <v>87</v>
      </c>
    </row>
    <row r="61" spans="1:16" x14ac:dyDescent="0.25">
      <c r="B61" s="2" t="s">
        <v>12</v>
      </c>
      <c r="C61" s="2" t="s">
        <v>85</v>
      </c>
      <c r="D61" s="2" t="s">
        <v>18</v>
      </c>
      <c r="E61" s="2" t="s">
        <v>6</v>
      </c>
      <c r="F61" s="2" t="s">
        <v>7</v>
      </c>
      <c r="G61" s="2" t="s">
        <v>86</v>
      </c>
      <c r="H61" s="2" t="s">
        <v>5</v>
      </c>
      <c r="I61" s="2" t="s">
        <v>81</v>
      </c>
      <c r="J61" s="2" t="s">
        <v>89</v>
      </c>
      <c r="K61" s="2" t="s">
        <v>16</v>
      </c>
      <c r="L61" s="2" t="s">
        <v>5</v>
      </c>
      <c r="M61" s="2" t="s">
        <v>81</v>
      </c>
      <c r="N61" s="2" t="s">
        <v>89</v>
      </c>
      <c r="O61" s="2" t="s">
        <v>16</v>
      </c>
      <c r="P61" s="2" t="s">
        <v>82</v>
      </c>
    </row>
    <row r="62" spans="1:16" x14ac:dyDescent="0.25">
      <c r="A62" s="2" t="s">
        <v>172</v>
      </c>
      <c r="B62" s="19" t="s">
        <v>84</v>
      </c>
      <c r="C62" s="19" t="s">
        <v>112</v>
      </c>
      <c r="D62" s="19">
        <v>1</v>
      </c>
      <c r="E62" s="19">
        <v>1</v>
      </c>
      <c r="F62" s="19">
        <v>6.3E-2</v>
      </c>
      <c r="G62" s="4">
        <f>(D62+E62)*F62*12*0.0975</f>
        <v>0.14742</v>
      </c>
      <c r="H62" s="5">
        <f>B35*2+C39*4</f>
        <v>267.94284547628718</v>
      </c>
      <c r="I62" s="19">
        <v>2</v>
      </c>
      <c r="J62" s="4">
        <f>H62*I62/12</f>
        <v>44.657140912714532</v>
      </c>
      <c r="K62" s="4">
        <f>J62*G62</f>
        <v>6.5833557133523763</v>
      </c>
      <c r="L62" s="3">
        <f>E3</f>
        <v>50</v>
      </c>
      <c r="M62" s="19">
        <v>8</v>
      </c>
      <c r="N62" s="4">
        <f>L62*M62/12</f>
        <v>33.333333333333336</v>
      </c>
      <c r="O62" s="3">
        <f>N62*G62</f>
        <v>4.9140000000000006</v>
      </c>
      <c r="P62" s="4">
        <f>K62+O62</f>
        <v>11.497355713352377</v>
      </c>
    </row>
    <row r="64" spans="1:16" x14ac:dyDescent="0.25">
      <c r="A64" s="2" t="s">
        <v>173</v>
      </c>
      <c r="B64" s="2" t="s">
        <v>12</v>
      </c>
      <c r="C64" s="2" t="s">
        <v>85</v>
      </c>
      <c r="D64" s="2" t="s">
        <v>18</v>
      </c>
      <c r="E64" s="2" t="s">
        <v>6</v>
      </c>
      <c r="F64" s="2" t="s">
        <v>7</v>
      </c>
      <c r="G64" s="2" t="s">
        <v>86</v>
      </c>
      <c r="H64" s="2" t="s">
        <v>5</v>
      </c>
      <c r="I64" s="2" t="s">
        <v>81</v>
      </c>
      <c r="J64" s="2" t="s">
        <v>89</v>
      </c>
      <c r="K64" s="2" t="s">
        <v>82</v>
      </c>
    </row>
    <row r="65" spans="1:17" x14ac:dyDescent="0.25">
      <c r="B65" s="19" t="s">
        <v>84</v>
      </c>
      <c r="C65" s="19" t="s">
        <v>171</v>
      </c>
      <c r="D65" s="19">
        <v>4</v>
      </c>
      <c r="E65" s="19">
        <v>3</v>
      </c>
      <c r="F65" s="47">
        <v>0.125</v>
      </c>
      <c r="G65" s="4">
        <f>(D65+E65)*F65*12*0.0975</f>
        <v>1.0237499999999999</v>
      </c>
      <c r="H65" s="5">
        <f>C37</f>
        <v>50</v>
      </c>
      <c r="I65" s="19">
        <v>2</v>
      </c>
      <c r="J65" s="4">
        <f>H65*I65/12</f>
        <v>8.3333333333333339</v>
      </c>
      <c r="K65" s="4">
        <f>J65*G65</f>
        <v>8.53125</v>
      </c>
    </row>
    <row r="66" spans="1:17" x14ac:dyDescent="0.25">
      <c r="A66" s="1" t="s">
        <v>94</v>
      </c>
    </row>
    <row r="67" spans="1:17" x14ac:dyDescent="0.25">
      <c r="B67" s="2" t="s">
        <v>102</v>
      </c>
      <c r="C67" s="2" t="s">
        <v>97</v>
      </c>
      <c r="D67" s="2" t="s">
        <v>104</v>
      </c>
      <c r="E67" s="2" t="s">
        <v>111</v>
      </c>
      <c r="F67" s="2" t="s">
        <v>105</v>
      </c>
      <c r="G67" s="2" t="s">
        <v>99</v>
      </c>
      <c r="H67" s="2" t="s">
        <v>100</v>
      </c>
      <c r="I67" s="2" t="s">
        <v>109</v>
      </c>
      <c r="J67" s="2" t="s">
        <v>101</v>
      </c>
      <c r="K67" s="2" t="s">
        <v>16</v>
      </c>
      <c r="L67" s="2" t="s">
        <v>103</v>
      </c>
      <c r="M67" s="2" t="s">
        <v>98</v>
      </c>
      <c r="N67" s="2" t="s">
        <v>110</v>
      </c>
      <c r="O67" s="2" t="s">
        <v>106</v>
      </c>
      <c r="P67" s="2" t="s">
        <v>70</v>
      </c>
      <c r="Q67" s="2" t="s">
        <v>123</v>
      </c>
    </row>
    <row r="68" spans="1:17" x14ac:dyDescent="0.25">
      <c r="A68" s="2" t="s">
        <v>95</v>
      </c>
      <c r="B68" s="24">
        <v>45</v>
      </c>
      <c r="C68" s="19">
        <v>60</v>
      </c>
      <c r="D68" s="25">
        <f>B68*C68</f>
        <v>2700</v>
      </c>
      <c r="E68" s="25">
        <f>D68/3</f>
        <v>900</v>
      </c>
      <c r="F68" s="44">
        <v>19</v>
      </c>
      <c r="G68" s="45">
        <v>148</v>
      </c>
      <c r="H68" s="45">
        <v>3</v>
      </c>
      <c r="I68" s="45">
        <v>360</v>
      </c>
      <c r="J68" s="44">
        <v>500</v>
      </c>
      <c r="K68" s="6">
        <f>D68/F68</f>
        <v>142.10526315789474</v>
      </c>
      <c r="L68" s="6">
        <f>J49</f>
        <v>61.4491354863693</v>
      </c>
      <c r="M68" s="6">
        <f>D68/L68</f>
        <v>43.938779262385495</v>
      </c>
      <c r="N68" s="6">
        <f>13.144*LN(D68)-73.496</f>
        <v>30.354836691388371</v>
      </c>
      <c r="O68" s="23">
        <f>G68*D68/1000</f>
        <v>399.6</v>
      </c>
      <c r="P68" s="5">
        <f>O68/I68</f>
        <v>1.1100000000000001</v>
      </c>
      <c r="Q68" s="5">
        <f>POWER(P68,1/3)*12</f>
        <v>12.424785665380874</v>
      </c>
    </row>
    <row r="69" spans="1:17" x14ac:dyDescent="0.25">
      <c r="D69" s="26"/>
      <c r="H69" s="2"/>
      <c r="J69" s="2"/>
      <c r="Q69" s="2" t="s">
        <v>122</v>
      </c>
    </row>
    <row r="70" spans="1:17" x14ac:dyDescent="0.25">
      <c r="A70" s="2" t="s">
        <v>96</v>
      </c>
      <c r="B70" s="24">
        <v>45</v>
      </c>
      <c r="C70" s="19">
        <v>60</v>
      </c>
      <c r="D70" s="25">
        <f>B70*C70</f>
        <v>2700</v>
      </c>
      <c r="E70" s="25">
        <f>D70/3</f>
        <v>900</v>
      </c>
      <c r="F70" s="44">
        <v>48</v>
      </c>
      <c r="G70" s="45">
        <v>286</v>
      </c>
      <c r="H70" s="45">
        <v>14</v>
      </c>
      <c r="I70" s="45">
        <v>2300</v>
      </c>
      <c r="J70" s="46">
        <v>2000</v>
      </c>
      <c r="K70" s="6">
        <f>D70/F70</f>
        <v>56.25</v>
      </c>
      <c r="L70" s="6">
        <f>J49</f>
        <v>61.4491354863693</v>
      </c>
      <c r="M70" s="6">
        <f>D70/L70</f>
        <v>43.938779262385495</v>
      </c>
      <c r="N70" s="6">
        <f>13.144*LN(D70)-73.496</f>
        <v>30.354836691388371</v>
      </c>
      <c r="O70" s="23">
        <f>G70*D70/1000</f>
        <v>772.2</v>
      </c>
      <c r="P70" s="5">
        <f>O70/I70</f>
        <v>0.33573913043478265</v>
      </c>
      <c r="Q70" s="5">
        <f>POWER(P70,1/3)*12</f>
        <v>8.3403043659722442</v>
      </c>
    </row>
    <row r="72" spans="1:17" x14ac:dyDescent="0.25">
      <c r="B72" s="2" t="s">
        <v>82</v>
      </c>
    </row>
    <row r="73" spans="1:17" x14ac:dyDescent="0.25">
      <c r="A73" s="1" t="s">
        <v>69</v>
      </c>
      <c r="B73" s="5">
        <f>D75+D77+B79</f>
        <v>30.5</v>
      </c>
    </row>
    <row r="74" spans="1:17" x14ac:dyDescent="0.25">
      <c r="B74" s="2" t="s">
        <v>137</v>
      </c>
      <c r="C74" s="2" t="s">
        <v>81</v>
      </c>
      <c r="D74" s="2" t="s">
        <v>82</v>
      </c>
    </row>
    <row r="75" spans="1:17" x14ac:dyDescent="0.25">
      <c r="A75" s="2" t="s">
        <v>138</v>
      </c>
      <c r="B75" s="19">
        <v>7</v>
      </c>
      <c r="C75" s="19">
        <v>2.5</v>
      </c>
      <c r="D75" s="3">
        <f>B75*C75</f>
        <v>17.5</v>
      </c>
    </row>
    <row r="76" spans="1:17" x14ac:dyDescent="0.25">
      <c r="B76" s="2" t="s">
        <v>140</v>
      </c>
      <c r="C76" s="2" t="s">
        <v>81</v>
      </c>
      <c r="D76" s="2" t="s">
        <v>82</v>
      </c>
    </row>
    <row r="77" spans="1:17" x14ac:dyDescent="0.25">
      <c r="A77" s="2" t="s">
        <v>139</v>
      </c>
      <c r="B77" s="19">
        <v>2</v>
      </c>
      <c r="C77" s="19">
        <v>4</v>
      </c>
      <c r="D77" s="3">
        <f>B77*C77</f>
        <v>8</v>
      </c>
    </row>
    <row r="78" spans="1:17" x14ac:dyDescent="0.25">
      <c r="B78" s="2" t="s">
        <v>16</v>
      </c>
    </row>
    <row r="79" spans="1:17" x14ac:dyDescent="0.25">
      <c r="A79" s="2" t="s">
        <v>141</v>
      </c>
      <c r="B79" s="19">
        <v>5</v>
      </c>
    </row>
    <row r="82" spans="1:8" x14ac:dyDescent="0.25">
      <c r="B82" s="2" t="s">
        <v>82</v>
      </c>
    </row>
    <row r="83" spans="1:8" x14ac:dyDescent="0.25">
      <c r="A83" s="1" t="s">
        <v>152</v>
      </c>
      <c r="B83" s="4">
        <f>H85+E88</f>
        <v>5.0291832459589711</v>
      </c>
    </row>
    <row r="84" spans="1:8" x14ac:dyDescent="0.25">
      <c r="B84" s="2" t="s">
        <v>81</v>
      </c>
      <c r="C84" s="2" t="s">
        <v>74</v>
      </c>
      <c r="D84" s="2" t="s">
        <v>7</v>
      </c>
      <c r="E84" s="2" t="s">
        <v>5</v>
      </c>
      <c r="F84" s="2" t="s">
        <v>154</v>
      </c>
      <c r="G84" s="2" t="s">
        <v>153</v>
      </c>
      <c r="H84" s="2" t="s">
        <v>155</v>
      </c>
    </row>
    <row r="85" spans="1:8" x14ac:dyDescent="0.25">
      <c r="A85" s="2" t="s">
        <v>10</v>
      </c>
      <c r="B85" s="2">
        <v>2</v>
      </c>
      <c r="C85" s="2">
        <v>2.5</v>
      </c>
      <c r="D85" s="2">
        <v>0.03</v>
      </c>
      <c r="E85" s="3">
        <f>20+E3+12</f>
        <v>82</v>
      </c>
      <c r="F85" s="4">
        <f>PI()*C85*E85/144</f>
        <v>4.4724062082354692</v>
      </c>
      <c r="G85" s="4">
        <f>F85*M12</f>
        <v>1.8895916229794856</v>
      </c>
      <c r="H85" s="4">
        <f>B85*G85</f>
        <v>3.7791832459589711</v>
      </c>
    </row>
    <row r="87" spans="1:8" x14ac:dyDescent="0.25">
      <c r="E87" s="2" t="s">
        <v>155</v>
      </c>
    </row>
    <row r="88" spans="1:8" x14ac:dyDescent="0.25">
      <c r="A88" s="2" t="s">
        <v>159</v>
      </c>
      <c r="B88" s="2" t="s">
        <v>81</v>
      </c>
      <c r="C88" s="2" t="s">
        <v>160</v>
      </c>
      <c r="D88" s="2" t="s">
        <v>161</v>
      </c>
      <c r="E88" s="3">
        <f>SUM(D89:D91)/16</f>
        <v>1.25</v>
      </c>
    </row>
    <row r="89" spans="1:8" x14ac:dyDescent="0.25">
      <c r="A89" s="2" t="s">
        <v>156</v>
      </c>
      <c r="B89" s="19">
        <v>2</v>
      </c>
      <c r="C89" s="19">
        <v>4</v>
      </c>
      <c r="D89" s="3">
        <f>B89*C89</f>
        <v>8</v>
      </c>
    </row>
    <row r="90" spans="1:8" x14ac:dyDescent="0.25">
      <c r="A90" s="2" t="s">
        <v>157</v>
      </c>
      <c r="B90" s="19">
        <v>4</v>
      </c>
      <c r="C90" s="19">
        <v>2</v>
      </c>
      <c r="D90" s="3">
        <f>B90*C90</f>
        <v>8</v>
      </c>
    </row>
    <row r="91" spans="1:8" x14ac:dyDescent="0.25">
      <c r="A91" s="2" t="s">
        <v>158</v>
      </c>
      <c r="B91" s="19">
        <v>2</v>
      </c>
      <c r="C91" s="19">
        <v>2</v>
      </c>
      <c r="D91" s="3">
        <f>B91*C91</f>
        <v>4</v>
      </c>
    </row>
    <row r="93" spans="1:8" x14ac:dyDescent="0.25">
      <c r="B93" s="2" t="s">
        <v>82</v>
      </c>
    </row>
    <row r="94" spans="1:8" x14ac:dyDescent="0.25">
      <c r="A94" s="1" t="s">
        <v>165</v>
      </c>
      <c r="B94" s="3">
        <f>E97+E99</f>
        <v>1.75</v>
      </c>
    </row>
    <row r="96" spans="1:8" x14ac:dyDescent="0.25">
      <c r="A96" s="2" t="s">
        <v>166</v>
      </c>
      <c r="B96" s="2" t="s">
        <v>81</v>
      </c>
      <c r="C96" s="2" t="s">
        <v>160</v>
      </c>
      <c r="D96" s="2" t="s">
        <v>161</v>
      </c>
      <c r="E96" s="2" t="s">
        <v>155</v>
      </c>
    </row>
    <row r="97" spans="1:5" x14ac:dyDescent="0.25">
      <c r="B97" s="19">
        <v>2</v>
      </c>
      <c r="C97" s="19">
        <v>6</v>
      </c>
      <c r="D97" s="3">
        <f>B97*C97</f>
        <v>12</v>
      </c>
      <c r="E97" s="3">
        <f>SUM(D97:D99)/16</f>
        <v>1.25</v>
      </c>
    </row>
    <row r="98" spans="1:5" x14ac:dyDescent="0.25">
      <c r="A98" s="2" t="s">
        <v>168</v>
      </c>
      <c r="B98" s="2" t="s">
        <v>169</v>
      </c>
      <c r="C98" s="2" t="s">
        <v>170</v>
      </c>
      <c r="D98" s="2" t="s">
        <v>161</v>
      </c>
      <c r="E98" s="2" t="s">
        <v>155</v>
      </c>
    </row>
    <row r="99" spans="1:5" x14ac:dyDescent="0.25">
      <c r="B99" s="19">
        <v>2</v>
      </c>
      <c r="C99" s="19">
        <v>4</v>
      </c>
      <c r="D99" s="3">
        <f>B99*C99</f>
        <v>8</v>
      </c>
      <c r="E99" s="3">
        <f>SUM(D99:D101)/16</f>
        <v>0.5</v>
      </c>
    </row>
  </sheetData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Patterson</dc:creator>
  <cp:lastModifiedBy>William Patterson</cp:lastModifiedBy>
  <dcterms:created xsi:type="dcterms:W3CDTF">2021-03-22T19:09:13Z</dcterms:created>
  <dcterms:modified xsi:type="dcterms:W3CDTF">2021-03-29T15:37:18Z</dcterms:modified>
</cp:coreProperties>
</file>